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fmsworkforcesolutions-my.sharepoint.com/personal/hpettit_fmsworkforcesolutions_org/Documents/Desktop/"/>
    </mc:Choice>
  </mc:AlternateContent>
  <xr:revisionPtr revIDLastSave="0" documentId="8_{A320A1AB-2351-4E2B-81B7-0779EB49C4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Y22 Final Allocations " sheetId="1" r:id="rId1"/>
    <sheet name="BY22 Final WIB budget" sheetId="2" state="hidden" r:id="rId2"/>
    <sheet name="BY22 Final PIC budget" sheetId="3" state="hidden" r:id="rId3"/>
    <sheet name="PY18 WDB Payroll" sheetId="5" state="hidden" r:id="rId4"/>
  </sheets>
  <externalReferences>
    <externalReference r:id="rId5"/>
  </externalReferences>
  <definedNames>
    <definedName name="_xlnm.Print_Area" localSheetId="0">'BY22 Final Allocations '!$A$1:$H$78</definedName>
    <definedName name="_xlnm.Print_Area" localSheetId="2">'BY22 Final PIC budget'!$A$1:$K$88</definedName>
    <definedName name="_xlnm.Print_Area" localSheetId="1">'BY22 Final WIB budget'!$A$1:$J$66</definedName>
    <definedName name="_xlnm.Print_Titles" localSheetId="0">'BY22 Final Allocations 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  <c r="B40" i="1" s="1"/>
  <c r="C29" i="1" l="1"/>
  <c r="C32" i="1" s="1"/>
  <c r="C20" i="3" l="1"/>
  <c r="C26" i="2" l="1"/>
  <c r="C13" i="2"/>
  <c r="C21" i="1" l="1"/>
  <c r="C12" i="1"/>
  <c r="B70" i="3" l="1"/>
  <c r="B58" i="3"/>
  <c r="B55" i="3"/>
  <c r="I40" i="3" l="1"/>
  <c r="E20" i="3" l="1"/>
  <c r="B20" i="3"/>
  <c r="C19" i="3"/>
  <c r="B19" i="3" s="1"/>
  <c r="C18" i="3"/>
  <c r="B18" i="3"/>
  <c r="C17" i="3"/>
  <c r="B17" i="3" s="1"/>
  <c r="C16" i="3"/>
  <c r="B16" i="3"/>
  <c r="C15" i="3"/>
  <c r="B15" i="3" s="1"/>
  <c r="C14" i="3"/>
  <c r="B14" i="3" s="1"/>
  <c r="C13" i="3"/>
  <c r="B13" i="3" s="1"/>
  <c r="C12" i="3"/>
  <c r="B12" i="3" s="1"/>
  <c r="B11" i="3"/>
  <c r="C9" i="2" l="1"/>
  <c r="C8" i="2"/>
  <c r="C7" i="2"/>
  <c r="C6" i="2" s="1"/>
  <c r="B46" i="1"/>
  <c r="D46" i="1"/>
  <c r="B38" i="1" l="1"/>
  <c r="B71" i="3" l="1"/>
  <c r="D48" i="1"/>
  <c r="D33" i="2" l="1"/>
  <c r="B33" i="2" s="1"/>
  <c r="B40" i="3" l="1"/>
  <c r="E48" i="2" l="1"/>
  <c r="B44" i="2"/>
  <c r="E13" i="2" l="1"/>
  <c r="B13" i="2" s="1"/>
  <c r="E6" i="2"/>
  <c r="D6" i="2"/>
  <c r="D35" i="2" s="1"/>
  <c r="B11" i="2"/>
  <c r="B10" i="2"/>
  <c r="H75" i="3" l="1"/>
  <c r="J72" i="3"/>
  <c r="I72" i="3"/>
  <c r="H71" i="3"/>
  <c r="K70" i="3"/>
  <c r="H70" i="3" s="1"/>
  <c r="H68" i="3"/>
  <c r="H67" i="3"/>
  <c r="H59" i="3"/>
  <c r="I58" i="3"/>
  <c r="H58" i="3" s="1"/>
  <c r="H57" i="3"/>
  <c r="I56" i="3"/>
  <c r="H56" i="3" s="1"/>
  <c r="I55" i="3"/>
  <c r="H55" i="3" s="1"/>
  <c r="K49" i="3"/>
  <c r="K61" i="3" s="1"/>
  <c r="J49" i="3"/>
  <c r="J61" i="3" s="1"/>
  <c r="I48" i="3"/>
  <c r="H48" i="3" s="1"/>
  <c r="I47" i="3"/>
  <c r="H47" i="3" s="1"/>
  <c r="I46" i="3"/>
  <c r="H46" i="3" s="1"/>
  <c r="I45" i="3"/>
  <c r="H45" i="3" s="1"/>
  <c r="I44" i="3"/>
  <c r="H44" i="3" s="1"/>
  <c r="I43" i="3"/>
  <c r="H43" i="3" s="1"/>
  <c r="I42" i="3"/>
  <c r="H42" i="3" s="1"/>
  <c r="I41" i="3"/>
  <c r="H41" i="3" s="1"/>
  <c r="H40" i="3"/>
  <c r="H28" i="3"/>
  <c r="H27" i="3"/>
  <c r="H26" i="3"/>
  <c r="H25" i="3"/>
  <c r="H24" i="3"/>
  <c r="K22" i="3"/>
  <c r="K30" i="3" s="1"/>
  <c r="J22" i="3"/>
  <c r="J30" i="3" s="1"/>
  <c r="I20" i="3"/>
  <c r="H19" i="3"/>
  <c r="H18" i="3"/>
  <c r="H17" i="3"/>
  <c r="I16" i="3"/>
  <c r="H15" i="3"/>
  <c r="H14" i="3"/>
  <c r="H13" i="3"/>
  <c r="H12" i="3"/>
  <c r="H11" i="3"/>
  <c r="H9" i="3"/>
  <c r="J48" i="2"/>
  <c r="G48" i="2" s="1"/>
  <c r="J47" i="2"/>
  <c r="H47" i="2"/>
  <c r="G47" i="2" s="1"/>
  <c r="J46" i="2"/>
  <c r="H46" i="2"/>
  <c r="G46" i="2" s="1"/>
  <c r="J45" i="2"/>
  <c r="H45" i="2" s="1"/>
  <c r="G45" i="2" s="1"/>
  <c r="J44" i="2"/>
  <c r="G44" i="2"/>
  <c r="H43" i="2"/>
  <c r="G43" i="2" s="1"/>
  <c r="J42" i="2"/>
  <c r="H42" i="2" s="1"/>
  <c r="G42" i="2" s="1"/>
  <c r="J41" i="2"/>
  <c r="H41" i="2" s="1"/>
  <c r="G41" i="2" s="1"/>
  <c r="J40" i="2"/>
  <c r="H40" i="2"/>
  <c r="G40" i="2"/>
  <c r="J39" i="2"/>
  <c r="H39" i="2" s="1"/>
  <c r="G39" i="2" s="1"/>
  <c r="G31" i="2"/>
  <c r="G30" i="2"/>
  <c r="G29" i="2"/>
  <c r="G28" i="2"/>
  <c r="G27" i="2"/>
  <c r="G26" i="2"/>
  <c r="G25" i="2"/>
  <c r="G23" i="2"/>
  <c r="H22" i="2"/>
  <c r="G22" i="2" s="1"/>
  <c r="G20" i="2"/>
  <c r="G19" i="2"/>
  <c r="G18" i="2"/>
  <c r="G17" i="2"/>
  <c r="G16" i="2"/>
  <c r="H15" i="2"/>
  <c r="G15" i="2" s="1"/>
  <c r="J13" i="2"/>
  <c r="H13" i="2" s="1"/>
  <c r="J9" i="2"/>
  <c r="H9" i="2" s="1"/>
  <c r="G9" i="2" s="1"/>
  <c r="J8" i="2"/>
  <c r="H8" i="2" s="1"/>
  <c r="G8" i="2" s="1"/>
  <c r="J7" i="2"/>
  <c r="H7" i="2" s="1"/>
  <c r="I6" i="2"/>
  <c r="I35" i="2" s="1"/>
  <c r="D51" i="1"/>
  <c r="I22" i="3" l="1"/>
  <c r="I30" i="3" s="1"/>
  <c r="K72" i="3"/>
  <c r="H72" i="3"/>
  <c r="H49" i="3"/>
  <c r="H61" i="3" s="1"/>
  <c r="H22" i="3"/>
  <c r="H30" i="3"/>
  <c r="I50" i="2"/>
  <c r="I49" i="3"/>
  <c r="I61" i="3" s="1"/>
  <c r="J38" i="2"/>
  <c r="H38" i="2"/>
  <c r="G38" i="2" s="1"/>
  <c r="H6" i="2"/>
  <c r="H14" i="2" s="1"/>
  <c r="G7" i="2"/>
  <c r="G13" i="2"/>
  <c r="J6" i="2"/>
  <c r="J35" i="2" s="1"/>
  <c r="F52" i="1"/>
  <c r="H51" i="1"/>
  <c r="H50" i="1"/>
  <c r="H49" i="1"/>
  <c r="H47" i="1"/>
  <c r="H46" i="1"/>
  <c r="H45" i="1"/>
  <c r="G40" i="1"/>
  <c r="F40" i="1" s="1"/>
  <c r="F39" i="1"/>
  <c r="G32" i="1"/>
  <c r="F30" i="1"/>
  <c r="H30" i="1" s="1"/>
  <c r="F29" i="1"/>
  <c r="F32" i="1" s="1"/>
  <c r="G24" i="1"/>
  <c r="F22" i="1"/>
  <c r="H22" i="1" s="1"/>
  <c r="F21" i="1"/>
  <c r="F24" i="1" s="1"/>
  <c r="G15" i="1"/>
  <c r="F13" i="1"/>
  <c r="H13" i="1" s="1"/>
  <c r="F12" i="1"/>
  <c r="F15" i="1" s="1"/>
  <c r="H52" i="1" l="1"/>
  <c r="G36" i="1"/>
  <c r="G42" i="1" s="1"/>
  <c r="G54" i="1" s="1"/>
  <c r="G56" i="1" s="1"/>
  <c r="H79" i="3"/>
  <c r="J50" i="2"/>
  <c r="H6" i="3" s="1"/>
  <c r="G6" i="2"/>
  <c r="G35" i="2" s="1"/>
  <c r="H35" i="2"/>
  <c r="H50" i="2" s="1"/>
  <c r="F36" i="1"/>
  <c r="F42" i="1" s="1"/>
  <c r="F54" i="1" s="1"/>
  <c r="H12" i="1"/>
  <c r="H15" i="1" s="1"/>
  <c r="H21" i="1"/>
  <c r="H24" i="1" s="1"/>
  <c r="H29" i="1"/>
  <c r="H32" i="1" s="1"/>
  <c r="G51" i="2" l="1"/>
  <c r="H51" i="2"/>
  <c r="H36" i="1"/>
  <c r="H42" i="1" s="1"/>
  <c r="H54" i="1" s="1"/>
  <c r="B30" i="1" l="1"/>
  <c r="D30" i="1" s="1"/>
  <c r="D50" i="2"/>
  <c r="B29" i="1"/>
  <c r="D29" i="1" l="1"/>
  <c r="C28" i="3" l="1"/>
  <c r="D50" i="1"/>
  <c r="E26" i="3" s="1"/>
  <c r="D49" i="1"/>
  <c r="E27" i="3" s="1"/>
  <c r="D47" i="1"/>
  <c r="E24" i="3"/>
  <c r="D45" i="1"/>
  <c r="C24" i="3" s="1"/>
  <c r="C14" i="2" l="1"/>
  <c r="C72" i="3" l="1"/>
  <c r="D72" i="3"/>
  <c r="E72" i="3"/>
  <c r="B47" i="3" l="1"/>
  <c r="B48" i="3" l="1"/>
  <c r="B68" i="3"/>
  <c r="B75" i="3"/>
  <c r="B56" i="3" l="1"/>
  <c r="B67" i="3" l="1"/>
  <c r="B72" i="3" s="1"/>
  <c r="B57" i="3"/>
  <c r="B59" i="3"/>
  <c r="D49" i="3"/>
  <c r="D61" i="3" s="1"/>
  <c r="B42" i="3"/>
  <c r="B45" i="3"/>
  <c r="B46" i="3"/>
  <c r="B39" i="1" l="1"/>
  <c r="D6" i="3" l="1"/>
  <c r="B28" i="3" l="1"/>
  <c r="B40" i="2" l="1"/>
  <c r="B52" i="1"/>
  <c r="F20" i="5"/>
  <c r="F14" i="5"/>
  <c r="F9" i="5"/>
  <c r="C9" i="5"/>
  <c r="C20" i="5"/>
  <c r="C14" i="5"/>
  <c r="C29" i="5" s="1"/>
  <c r="AI30" i="5"/>
  <c r="AG30" i="5"/>
  <c r="AF30" i="5"/>
  <c r="AE30" i="5"/>
  <c r="AD30" i="5"/>
  <c r="AC30" i="5"/>
  <c r="AB30" i="5"/>
  <c r="AA30" i="5"/>
  <c r="Z30" i="5"/>
  <c r="AI29" i="5"/>
  <c r="AJ29" i="5" s="1"/>
  <c r="AG28" i="5"/>
  <c r="AF28" i="5"/>
  <c r="AE28" i="5"/>
  <c r="AC28" i="5"/>
  <c r="AB28" i="5"/>
  <c r="AA28" i="5"/>
  <c r="Z28" i="5"/>
  <c r="AJ26" i="5"/>
  <c r="F26" i="5"/>
  <c r="H26" i="5" s="1"/>
  <c r="E26" i="5"/>
  <c r="D26" i="5"/>
  <c r="AI23" i="5"/>
  <c r="AG23" i="5"/>
  <c r="AF23" i="5"/>
  <c r="AE23" i="5"/>
  <c r="AC23" i="5"/>
  <c r="AB23" i="5"/>
  <c r="AA23" i="5"/>
  <c r="Z23" i="5"/>
  <c r="AI22" i="5"/>
  <c r="AJ22" i="5" s="1"/>
  <c r="AG21" i="5"/>
  <c r="AF21" i="5"/>
  <c r="AE21" i="5"/>
  <c r="AC21" i="5"/>
  <c r="AB21" i="5"/>
  <c r="AA21" i="5"/>
  <c r="Z21" i="5"/>
  <c r="AD20" i="5"/>
  <c r="AD23" i="5" s="1"/>
  <c r="E20" i="5"/>
  <c r="AI17" i="5"/>
  <c r="AF17" i="5"/>
  <c r="AE17" i="5"/>
  <c r="AC17" i="5"/>
  <c r="AB17" i="5"/>
  <c r="AA17" i="5"/>
  <c r="Z17" i="5"/>
  <c r="AI16" i="5"/>
  <c r="AJ16" i="5" s="1"/>
  <c r="AF15" i="5"/>
  <c r="AE15" i="5"/>
  <c r="AC15" i="5"/>
  <c r="AB15" i="5"/>
  <c r="AA15" i="5"/>
  <c r="Z15" i="5"/>
  <c r="AG14" i="5"/>
  <c r="AG15" i="5" s="1"/>
  <c r="AD14" i="5"/>
  <c r="AD15" i="5" s="1"/>
  <c r="E14" i="5"/>
  <c r="AI12" i="5"/>
  <c r="AG12" i="5"/>
  <c r="AF12" i="5"/>
  <c r="AE12" i="5"/>
  <c r="AD12" i="5"/>
  <c r="AC12" i="5"/>
  <c r="AB12" i="5"/>
  <c r="AA12" i="5"/>
  <c r="Z12" i="5"/>
  <c r="AI11" i="5"/>
  <c r="AJ11" i="5" s="1"/>
  <c r="AG10" i="5"/>
  <c r="AF10" i="5"/>
  <c r="AE10" i="5"/>
  <c r="AC10" i="5"/>
  <c r="AB10" i="5"/>
  <c r="AA10" i="5"/>
  <c r="Z10" i="5"/>
  <c r="AJ9" i="5"/>
  <c r="AJ30" i="5" l="1"/>
  <c r="AJ12" i="5"/>
  <c r="AI34" i="5"/>
  <c r="J26" i="5"/>
  <c r="AL28" i="5"/>
  <c r="AC37" i="5"/>
  <c r="AB37" i="5"/>
  <c r="AA37" i="5"/>
  <c r="AE34" i="5"/>
  <c r="AD21" i="5"/>
  <c r="AL21" i="5" s="1"/>
  <c r="Z37" i="5"/>
  <c r="AF34" i="5"/>
  <c r="AL15" i="5"/>
  <c r="AL10" i="5"/>
  <c r="AJ23" i="5"/>
  <c r="AA34" i="5"/>
  <c r="G9" i="5"/>
  <c r="G14" i="5"/>
  <c r="AG17" i="5"/>
  <c r="AG34" i="5" s="1"/>
  <c r="D20" i="5"/>
  <c r="J20" i="5" s="1"/>
  <c r="AB34" i="5"/>
  <c r="D9" i="5"/>
  <c r="D14" i="5"/>
  <c r="AJ14" i="5"/>
  <c r="AD17" i="5"/>
  <c r="AD34" i="5" s="1"/>
  <c r="AC34" i="5"/>
  <c r="E9" i="5"/>
  <c r="AJ20" i="5"/>
  <c r="Z34" i="5"/>
  <c r="B37" i="5" l="1"/>
  <c r="Z38" i="5" s="1"/>
  <c r="AJ17" i="5"/>
  <c r="H20" i="5"/>
  <c r="H14" i="5"/>
  <c r="J9" i="5"/>
  <c r="AB40" i="5"/>
  <c r="B34" i="5"/>
  <c r="Z35" i="5" s="1"/>
  <c r="Z40" i="5"/>
  <c r="AJ34" i="5"/>
  <c r="J14" i="5"/>
  <c r="AA35" i="5"/>
  <c r="AA40" i="5"/>
  <c r="H9" i="5"/>
  <c r="J29" i="5" l="1"/>
  <c r="AC38" i="5"/>
  <c r="AA38" i="5"/>
  <c r="AB38" i="5"/>
  <c r="AG35" i="5"/>
  <c r="AD35" i="5"/>
  <c r="AB35" i="5"/>
  <c r="AC35" i="5"/>
  <c r="H29" i="5"/>
  <c r="B40" i="5"/>
  <c r="AB41" i="5" s="1"/>
  <c r="AF35" i="5"/>
  <c r="AE35" i="5"/>
  <c r="B38" i="5" l="1"/>
  <c r="Z41" i="5"/>
  <c r="B35" i="5"/>
  <c r="AA41" i="5"/>
  <c r="B41" i="5" l="1"/>
  <c r="B48" i="2" l="1"/>
  <c r="B25" i="2" l="1"/>
  <c r="B26" i="2"/>
  <c r="B27" i="2"/>
  <c r="B28" i="2"/>
  <c r="B29" i="2"/>
  <c r="B30" i="2"/>
  <c r="B31" i="2"/>
  <c r="B9" i="2" l="1"/>
  <c r="B8" i="2" l="1"/>
  <c r="B22" i="1" l="1"/>
  <c r="B27" i="3" l="1"/>
  <c r="B26" i="3"/>
  <c r="E22" i="3"/>
  <c r="D22" i="3"/>
  <c r="D30" i="3" s="1"/>
  <c r="C22" i="3"/>
  <c r="B9" i="3"/>
  <c r="B47" i="2"/>
  <c r="B46" i="2"/>
  <c r="B45" i="2"/>
  <c r="B43" i="2"/>
  <c r="B42" i="2"/>
  <c r="B23" i="2"/>
  <c r="C22" i="2"/>
  <c r="B20" i="2"/>
  <c r="B19" i="2"/>
  <c r="B18" i="2"/>
  <c r="B17" i="2"/>
  <c r="B16" i="2"/>
  <c r="B32" i="1"/>
  <c r="I27" i="1"/>
  <c r="C24" i="1"/>
  <c r="D22" i="1"/>
  <c r="B21" i="1"/>
  <c r="I18" i="1"/>
  <c r="C15" i="1"/>
  <c r="B13" i="1"/>
  <c r="D13" i="1" s="1"/>
  <c r="B12" i="1"/>
  <c r="D12" i="1" s="1"/>
  <c r="I9" i="1"/>
  <c r="B22" i="2" l="1"/>
  <c r="D15" i="1"/>
  <c r="D52" i="1"/>
  <c r="C30" i="3"/>
  <c r="E30" i="3"/>
  <c r="B24" i="3"/>
  <c r="E35" i="2"/>
  <c r="B24" i="1"/>
  <c r="D21" i="1"/>
  <c r="D24" i="1" s="1"/>
  <c r="B15" i="1"/>
  <c r="B36" i="1" s="1"/>
  <c r="B42" i="1" s="1"/>
  <c r="D32" i="1"/>
  <c r="C36" i="1"/>
  <c r="C42" i="1" s="1"/>
  <c r="B25" i="3"/>
  <c r="C15" i="2"/>
  <c r="B15" i="2" s="1"/>
  <c r="C35" i="2" l="1"/>
  <c r="E6" i="3"/>
  <c r="F28" i="3"/>
  <c r="B22" i="3"/>
  <c r="B30" i="3" s="1"/>
  <c r="D36" i="1"/>
  <c r="D42" i="1" s="1"/>
  <c r="D54" i="1" s="1"/>
  <c r="I36" i="1" l="1"/>
  <c r="C54" i="1" l="1"/>
  <c r="B54" i="1"/>
  <c r="B7" i="2"/>
  <c r="B6" i="2"/>
  <c r="B35" i="2" s="1"/>
  <c r="C6" i="3" l="1"/>
  <c r="B6" i="3" l="1"/>
  <c r="B43" i="3"/>
  <c r="F20" i="3" l="1"/>
  <c r="F30" i="3" s="1"/>
  <c r="B41" i="2" l="1"/>
  <c r="E38" i="2" l="1"/>
  <c r="E50" i="2" s="1"/>
  <c r="C39" i="2"/>
  <c r="B39" i="2" s="1"/>
  <c r="C38" i="2" l="1"/>
  <c r="B38" i="2" l="1"/>
  <c r="C50" i="2"/>
  <c r="B51" i="2" s="1"/>
  <c r="D56" i="1" l="1"/>
  <c r="C51" i="2"/>
  <c r="H58" i="1" l="1"/>
  <c r="H62" i="1" s="1"/>
  <c r="B44" i="3"/>
  <c r="C49" i="3"/>
  <c r="C61" i="3" s="1"/>
  <c r="E49" i="3" l="1"/>
  <c r="E61" i="3" s="1"/>
  <c r="B41" i="3"/>
  <c r="B49" i="3" s="1"/>
  <c r="B61" i="3" s="1"/>
  <c r="B79" i="3" s="1"/>
  <c r="C56" i="1" s="1"/>
  <c r="B56" i="1" l="1"/>
  <c r="D58" i="1" s="1"/>
  <c r="D62" i="1" l="1"/>
</calcChain>
</file>

<file path=xl/sharedStrings.xml><?xml version="1.0" encoding="utf-8"?>
<sst xmlns="http://schemas.openxmlformats.org/spreadsheetml/2006/main" count="276" uniqueCount="204">
  <si>
    <t>New Contract Year</t>
  </si>
  <si>
    <t>Funding</t>
  </si>
  <si>
    <t xml:space="preserve">PIC  </t>
  </si>
  <si>
    <t>WDB Budget &amp;</t>
  </si>
  <si>
    <t>Available</t>
  </si>
  <si>
    <t>Budget</t>
  </si>
  <si>
    <t>Infrastructure</t>
  </si>
  <si>
    <t>Adult</t>
  </si>
  <si>
    <t>Total Adult</t>
  </si>
  <si>
    <t>Dislocated Worker</t>
  </si>
  <si>
    <t>Total Dislocated Worker</t>
  </si>
  <si>
    <t>Youth</t>
  </si>
  <si>
    <t>Total Youth</t>
  </si>
  <si>
    <t>TOTAL FUNDING</t>
  </si>
  <si>
    <t>Plus additional funds for Infrastructure:</t>
  </si>
  <si>
    <t xml:space="preserve"> NYS DOL-Cobleskill</t>
  </si>
  <si>
    <t xml:space="preserve"> NYSED/ACCES-VR</t>
  </si>
  <si>
    <t xml:space="preserve"> Schoharie Co DSS</t>
  </si>
  <si>
    <t xml:space="preserve"> Catskill Ctr Independent Living</t>
  </si>
  <si>
    <t xml:space="preserve">   Subtotal for infrastructure</t>
  </si>
  <si>
    <t>TOTAL AVAILABLE</t>
  </si>
  <si>
    <t>TOTAL REQUIRED</t>
  </si>
  <si>
    <t>PIC</t>
  </si>
  <si>
    <t>* Summer Youth funding includes salaries for the Youth staff, Youth employed and program expenses</t>
  </si>
  <si>
    <t>TANF</t>
  </si>
  <si>
    <t>TOTAL</t>
  </si>
  <si>
    <t>WIOA</t>
  </si>
  <si>
    <t>SYEP</t>
  </si>
  <si>
    <t xml:space="preserve">Staff salaries </t>
  </si>
  <si>
    <t xml:space="preserve"> Exec Director</t>
  </si>
  <si>
    <t xml:space="preserve"> Fiscal Manager</t>
  </si>
  <si>
    <t>Fringe benefits</t>
  </si>
  <si>
    <t>Contracted Services</t>
  </si>
  <si>
    <t xml:space="preserve"> Board Training</t>
  </si>
  <si>
    <t xml:space="preserve"> System Training</t>
  </si>
  <si>
    <t xml:space="preserve"> Insurance - D&amp;O</t>
  </si>
  <si>
    <t xml:space="preserve"> Audits</t>
  </si>
  <si>
    <t>Overhead costs</t>
  </si>
  <si>
    <t>Travel</t>
  </si>
  <si>
    <t>Conference registration</t>
  </si>
  <si>
    <t>Prof memberships</t>
  </si>
  <si>
    <t>Publications</t>
  </si>
  <si>
    <t>Board/Committee meetings</t>
  </si>
  <si>
    <t>WIB Supplies</t>
  </si>
  <si>
    <t>Miscellaneous</t>
  </si>
  <si>
    <t>SUB-TOTAL</t>
  </si>
  <si>
    <t>Infrastructure *</t>
  </si>
  <si>
    <t xml:space="preserve"> Rent</t>
  </si>
  <si>
    <t xml:space="preserve"> Utilities</t>
  </si>
  <si>
    <t xml:space="preserve"> Telephone</t>
  </si>
  <si>
    <t xml:space="preserve"> Repair/maintenance</t>
  </si>
  <si>
    <t xml:space="preserve"> Copy/fax</t>
  </si>
  <si>
    <t xml:space="preserve"> Center supplies</t>
  </si>
  <si>
    <t xml:space="preserve"> Insurance - property</t>
  </si>
  <si>
    <t xml:space="preserve"> Technology</t>
  </si>
  <si>
    <t>TOTALS</t>
  </si>
  <si>
    <t xml:space="preserve">** Actual figures available after closeout </t>
  </si>
  <si>
    <t>Assumptions:</t>
  </si>
  <si>
    <t>All Infrastructure (except rent) increase by 3%</t>
  </si>
  <si>
    <t>Rent/Amsterdam/Cobleskill increase by 2% CPI</t>
  </si>
  <si>
    <t>TOTAL WDB EXPENSES</t>
  </si>
  <si>
    <t>Total</t>
  </si>
  <si>
    <t>Amsterdam</t>
  </si>
  <si>
    <t>Gloversville</t>
  </si>
  <si>
    <t>Cobleskill</t>
  </si>
  <si>
    <t>Space available in sq ft</t>
  </si>
  <si>
    <t>Infrastructure Costs</t>
  </si>
  <si>
    <t>Rent</t>
  </si>
  <si>
    <t>Utilities</t>
  </si>
  <si>
    <t>Telephone</t>
  </si>
  <si>
    <t>Repairs/maintenance</t>
  </si>
  <si>
    <t>Postage and meters</t>
  </si>
  <si>
    <t>Copy/fax</t>
  </si>
  <si>
    <t>Center supplies</t>
  </si>
  <si>
    <t>Insurance - Property</t>
  </si>
  <si>
    <t>Technology</t>
  </si>
  <si>
    <t>Total Infrastructure cost</t>
  </si>
  <si>
    <t xml:space="preserve"> Catskill Ctr for Independent Living</t>
  </si>
  <si>
    <t>NET INFRASTRUCTURE COST</t>
  </si>
  <si>
    <t>Subcontractor Expenses (PIC)</t>
  </si>
  <si>
    <t xml:space="preserve"> Workforce Advisor Sr.</t>
  </si>
  <si>
    <t xml:space="preserve"> Workforce Advisor (1)</t>
  </si>
  <si>
    <t xml:space="preserve"> Business Services</t>
  </si>
  <si>
    <t xml:space="preserve">Sr. Youth Coordinator </t>
  </si>
  <si>
    <t xml:space="preserve"> GED Teacher</t>
  </si>
  <si>
    <t xml:space="preserve"> Database &amp; Network</t>
  </si>
  <si>
    <t>(PIC)  Other contracted costs:</t>
  </si>
  <si>
    <t xml:space="preserve"> Travel</t>
  </si>
  <si>
    <t xml:space="preserve"> Supplies and advertising</t>
  </si>
  <si>
    <t xml:space="preserve"> Conference registrations</t>
  </si>
  <si>
    <t xml:space="preserve"> Accounting and insurance</t>
  </si>
  <si>
    <t xml:space="preserve"> Memberships &amp; publications</t>
  </si>
  <si>
    <t xml:space="preserve">Total Subcontractor </t>
  </si>
  <si>
    <t xml:space="preserve">  without training</t>
  </si>
  <si>
    <t xml:space="preserve">  Adult</t>
  </si>
  <si>
    <t xml:space="preserve">  TANF Summer Youth</t>
  </si>
  <si>
    <t xml:space="preserve">  Youth Work Experience</t>
  </si>
  <si>
    <t>TOTAL TRAINING</t>
  </si>
  <si>
    <t xml:space="preserve">  WITH TRAINING</t>
  </si>
  <si>
    <t>* A percentage of Youth Coordinators, GED teachers and the Director's salary</t>
  </si>
  <si>
    <t xml:space="preserve">  were funded from TANF Summer Youth program for 10 weeks.</t>
  </si>
  <si>
    <t>Lease expiration dates</t>
  </si>
  <si>
    <t>Total WIOA Funding</t>
  </si>
  <si>
    <t xml:space="preserve">     development and management of work experience</t>
  </si>
  <si>
    <t>FMS Workforce Investment Board</t>
  </si>
  <si>
    <t>Payroll Allocation</t>
  </si>
  <si>
    <t>Health Ins./</t>
  </si>
  <si>
    <t>Fringe Only</t>
  </si>
  <si>
    <t>NEG</t>
  </si>
  <si>
    <t>Employee</t>
  </si>
  <si>
    <t>Hours</t>
  </si>
  <si>
    <t>Gross $</t>
  </si>
  <si>
    <t>SS/Med</t>
  </si>
  <si>
    <t>State Un.</t>
  </si>
  <si>
    <t>Ins. Buyback</t>
  </si>
  <si>
    <t>ER IRA</t>
  </si>
  <si>
    <t>Gross/Fringe</t>
  </si>
  <si>
    <t>DLW</t>
  </si>
  <si>
    <t>Admin</t>
  </si>
  <si>
    <t>OJT NEG</t>
  </si>
  <si>
    <t>WIF</t>
  </si>
  <si>
    <t>Disaster</t>
  </si>
  <si>
    <t>Leave</t>
  </si>
  <si>
    <t>7 pays</t>
  </si>
  <si>
    <t>B Ball</t>
  </si>
  <si>
    <t>(1950 hrs/yr)</t>
  </si>
  <si>
    <t>G Breen</t>
  </si>
  <si>
    <t>(1560 hrs/yr)</t>
  </si>
  <si>
    <t>K. Skiff</t>
  </si>
  <si>
    <t>J. Mitchell</t>
  </si>
  <si>
    <t>(1170 hrs/yr)</t>
  </si>
  <si>
    <t>Totals</t>
  </si>
  <si>
    <t>Grand total</t>
  </si>
  <si>
    <t xml:space="preserve"> PY 18 July '18 - June '19 Payroll/Fringe</t>
  </si>
  <si>
    <t xml:space="preserve">   HFM BOCES</t>
  </si>
  <si>
    <t xml:space="preserve">  HFM BOCES</t>
  </si>
  <si>
    <t xml:space="preserve">   Rent/Gloversville increase by 2% CPI</t>
  </si>
  <si>
    <t xml:space="preserve"> NYS DOL-Amsterdam</t>
  </si>
  <si>
    <t>TET-DWG</t>
  </si>
  <si>
    <t>11/19/18 TET-DWG 2 year Grant - Total - $371,485</t>
  </si>
  <si>
    <t>TET-DWGSupportive Services</t>
  </si>
  <si>
    <t xml:space="preserve">  planning for  yr.1 - $184,784</t>
  </si>
  <si>
    <t xml:space="preserve">  planinng for  yr.2 - $186,701</t>
  </si>
  <si>
    <t xml:space="preserve"> Audits - $8600 for yearly financial audit &amp; tax returns; additional $2500 for depreciation, adjusting journal entries &amp; other services</t>
  </si>
  <si>
    <t>Program Director</t>
  </si>
  <si>
    <t xml:space="preserve">  HFM BOCES - projected Annual Desk Rent </t>
  </si>
  <si>
    <t>Total PY'19 WIOA Funding</t>
  </si>
  <si>
    <t>Amount Required to Expend 80% of WIOA Funds</t>
  </si>
  <si>
    <t>Amount Required to Retain 20% For PY'19 WIOA Carry-In</t>
  </si>
  <si>
    <t>WDB Reserve</t>
  </si>
  <si>
    <t>Outreach/Outreach Materials</t>
  </si>
  <si>
    <t xml:space="preserve">  Dislocated Worker  </t>
  </si>
  <si>
    <t xml:space="preserve"> Other </t>
  </si>
  <si>
    <r>
      <t>Salary and fringes:</t>
    </r>
    <r>
      <rPr>
        <sz val="10"/>
        <rFont val="Arial"/>
        <family val="2"/>
      </rPr>
      <t xml:space="preserve"> *</t>
    </r>
  </si>
  <si>
    <t>8/24/20 - Revised TET-DWG Training from $10,000 - $30,000</t>
  </si>
  <si>
    <t xml:space="preserve">     Amsterdam Desk Rent - $8100</t>
  </si>
  <si>
    <t>Revised PY19 Carry In includes approved excess Carry In funds per Waiver</t>
  </si>
  <si>
    <t>WDB BY '21</t>
  </si>
  <si>
    <t>* Infrastructure costs include full service centers in Amsterdam, Cobleskill, and Gloversville</t>
  </si>
  <si>
    <t xml:space="preserve">2021 - ESTIMATED TANF Summer Youth Program Allocation </t>
  </si>
  <si>
    <t>* June '21 SYEP Expenditures - $1,811</t>
  </si>
  <si>
    <t xml:space="preserve">  2021 NYSED/ACCES-VR  ESTIMATED (Renewal in Process)</t>
  </si>
  <si>
    <t>**NYS DOL Trade and Economic Transition National Dislocated Worker Grant (exhausted June '21)</t>
  </si>
  <si>
    <t>PY20 Carry In Funds - ESTIMATED - Waiver possible</t>
  </si>
  <si>
    <t xml:space="preserve">   Catskill Ctr Independent Living calculated at new rate of $1716.00/mo. </t>
  </si>
  <si>
    <t xml:space="preserve">   NYS Desk Rent calculated at rate of $1698.33/month in Cobleskill</t>
  </si>
  <si>
    <t xml:space="preserve">   NYS Desk Rent calculated at rate of $4506/month in Amsterdam </t>
  </si>
  <si>
    <t>***ER-NDWG - Employment Recovery National Dislocated Worker Grant - through September, 2022</t>
  </si>
  <si>
    <t xml:space="preserve"> WF Advisor/BSR</t>
  </si>
  <si>
    <t>Training Expenses in Subcontractor (PIC) Budget</t>
  </si>
  <si>
    <t>TOTAL SUBCONTRACTOR (PIC)</t>
  </si>
  <si>
    <t>Difference</t>
  </si>
  <si>
    <t>80% Oblig. Waived</t>
  </si>
  <si>
    <t>BY '22 WDB/PIC Actual Allocations</t>
  </si>
  <si>
    <t>BY 22 per  NYS</t>
  </si>
  <si>
    <t>-10% Admin PY22</t>
  </si>
  <si>
    <t>WDB BY '22</t>
  </si>
  <si>
    <t xml:space="preserve">20% Carry-In for PY'21 </t>
  </si>
  <si>
    <t>Amount Required to Retain 20% for PY22 WIOA Carry-In</t>
  </si>
  <si>
    <t xml:space="preserve"> Exec Asst/Prg. Mng.</t>
  </si>
  <si>
    <t>Exec. Asst.</t>
  </si>
  <si>
    <t>Disability. Resource Coord.</t>
  </si>
  <si>
    <t>DRC</t>
  </si>
  <si>
    <t xml:space="preserve"> Postage/Meters</t>
  </si>
  <si>
    <t xml:space="preserve">Exec. Asst/Prgm Mng. Position funded for 30 hrs/wk </t>
  </si>
  <si>
    <t xml:space="preserve">Executive Director, Fiscal, Exec. Asst, DRC positions funded for 37.5 hrs/wk </t>
  </si>
  <si>
    <t>Prior Year</t>
  </si>
  <si>
    <t>Teleconference Calls</t>
  </si>
  <si>
    <t>BY 2021 Final Allocations</t>
  </si>
  <si>
    <t>Disability Resource Coord.</t>
  </si>
  <si>
    <t xml:space="preserve"> NYSED/ACCES-VR-Amst.</t>
  </si>
  <si>
    <t xml:space="preserve"> NYSED/ACCES-VR-Coby</t>
  </si>
  <si>
    <t xml:space="preserve">Youth Work Experience (363664.00 * 90% * 20%) = $ includes staffing costs for </t>
  </si>
  <si>
    <t>BY 2022 Actual Allocations</t>
  </si>
  <si>
    <t xml:space="preserve"> NYS DOL desk rent  </t>
  </si>
  <si>
    <t xml:space="preserve"> Resource Room (3) BY'22</t>
  </si>
  <si>
    <t xml:space="preserve">  ER-NDWG </t>
  </si>
  <si>
    <t xml:space="preserve">+BY 21 Carry-In </t>
  </si>
  <si>
    <t>BY21 Admin carry-in</t>
  </si>
  <si>
    <t xml:space="preserve">ER-NDWG </t>
  </si>
  <si>
    <t>Disability Resource Coord</t>
  </si>
  <si>
    <t xml:space="preserve"> TANF Summer Youth </t>
  </si>
  <si>
    <t>$50,000 alloted in Technology for new phone system</t>
  </si>
  <si>
    <t>Rev.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</si>
</sst>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mmmm\ d\,\ yyyy"/>
    <numFmt numFmtId="165" formatCode="m/d/yy"/>
    <numFmt numFmtId="166" formatCode="_(* #,##0_);_(* \(#,##0\);_(* &quot;-&quot;??_);_(@_)"/>
    <numFmt numFmtId="167" formatCode="m/d/yy;@"/>
    <numFmt numFmtId="168" formatCode="0.000%"/>
    <numFmt numFmtId="169" formatCode="0_);\(0\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/>
    <xf numFmtId="0" fontId="4" fillId="0" borderId="0" xfId="0" applyFont="1"/>
    <xf numFmtId="3" fontId="0" fillId="0" borderId="0" xfId="0" applyNumberFormat="1"/>
    <xf numFmtId="3" fontId="4" fillId="0" borderId="0" xfId="0" applyNumberFormat="1" applyFont="1"/>
    <xf numFmtId="14" fontId="4" fillId="0" borderId="0" xfId="0" applyNumberFormat="1" applyFont="1" applyAlignment="1">
      <alignment horizontal="left"/>
    </xf>
    <xf numFmtId="164" fontId="0" fillId="0" borderId="0" xfId="0" applyNumberFormat="1"/>
    <xf numFmtId="3" fontId="4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6" fillId="0" borderId="0" xfId="0" applyFont="1"/>
    <xf numFmtId="10" fontId="0" fillId="0" borderId="0" xfId="2" applyNumberFormat="1" applyFont="1" applyFill="1" applyBorder="1"/>
    <xf numFmtId="9" fontId="0" fillId="0" borderId="0" xfId="0" applyNumberFormat="1"/>
    <xf numFmtId="0" fontId="7" fillId="0" borderId="0" xfId="0" quotePrefix="1" applyFont="1"/>
    <xf numFmtId="3" fontId="0" fillId="0" borderId="2" xfId="0" applyNumberFormat="1" applyBorder="1"/>
    <xf numFmtId="0" fontId="0" fillId="0" borderId="0" xfId="0" quotePrefix="1"/>
    <xf numFmtId="3" fontId="6" fillId="0" borderId="2" xfId="0" applyNumberFormat="1" applyFont="1" applyBorder="1"/>
    <xf numFmtId="3" fontId="0" fillId="0" borderId="0" xfId="0" applyNumberFormat="1" applyAlignment="1">
      <alignment horizontal="right"/>
    </xf>
    <xf numFmtId="0" fontId="8" fillId="2" borderId="0" xfId="0" applyFont="1" applyFill="1"/>
    <xf numFmtId="0" fontId="7" fillId="0" borderId="0" xfId="0" applyFont="1"/>
    <xf numFmtId="0" fontId="4" fillId="2" borderId="0" xfId="0" applyFont="1" applyFill="1"/>
    <xf numFmtId="0" fontId="0" fillId="2" borderId="0" xfId="0" applyFill="1"/>
    <xf numFmtId="3" fontId="6" fillId="0" borderId="0" xfId="0" applyNumberFormat="1" applyFont="1"/>
    <xf numFmtId="10" fontId="4" fillId="0" borderId="0" xfId="2" applyNumberFormat="1" applyFont="1" applyFill="1" applyBorder="1"/>
    <xf numFmtId="4" fontId="0" fillId="0" borderId="0" xfId="0" applyNumberFormat="1"/>
    <xf numFmtId="0" fontId="9" fillId="0" borderId="0" xfId="0" applyFont="1"/>
    <xf numFmtId="3" fontId="7" fillId="0" borderId="0" xfId="0" applyNumberFormat="1" applyFont="1"/>
    <xf numFmtId="0" fontId="0" fillId="0" borderId="2" xfId="0" applyBorder="1"/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4" fontId="7" fillId="0" borderId="0" xfId="0" applyNumberFormat="1" applyFont="1"/>
    <xf numFmtId="0" fontId="6" fillId="2" borderId="0" xfId="0" applyFont="1" applyFill="1"/>
    <xf numFmtId="0" fontId="8" fillId="0" borderId="0" xfId="0" applyFont="1"/>
    <xf numFmtId="166" fontId="6" fillId="0" borderId="0" xfId="1" applyNumberFormat="1" applyFont="1" applyFill="1"/>
    <xf numFmtId="3" fontId="8" fillId="0" borderId="2" xfId="0" applyNumberFormat="1" applyFont="1" applyBorder="1"/>
    <xf numFmtId="0" fontId="6" fillId="0" borderId="0" xfId="0" applyFont="1" applyAlignment="1">
      <alignment horizontal="left" indent="1"/>
    </xf>
    <xf numFmtId="2" fontId="0" fillId="0" borderId="0" xfId="0" applyNumberFormat="1"/>
    <xf numFmtId="3" fontId="8" fillId="0" borderId="0" xfId="0" applyNumberFormat="1" applyFont="1"/>
    <xf numFmtId="4" fontId="4" fillId="0" borderId="0" xfId="0" applyNumberFormat="1" applyFont="1"/>
    <xf numFmtId="0" fontId="8" fillId="3" borderId="0" xfId="0" applyFont="1" applyFill="1"/>
    <xf numFmtId="3" fontId="7" fillId="3" borderId="0" xfId="0" applyNumberFormat="1" applyFont="1" applyFill="1"/>
    <xf numFmtId="3" fontId="2" fillId="0" borderId="0" xfId="0" applyNumberFormat="1" applyFont="1"/>
    <xf numFmtId="0" fontId="2" fillId="0" borderId="0" xfId="0" applyFont="1"/>
    <xf numFmtId="165" fontId="0" fillId="0" borderId="0" xfId="0" applyNumberFormat="1"/>
    <xf numFmtId="167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7" fontId="4" fillId="0" borderId="0" xfId="0" applyNumberFormat="1" applyFont="1"/>
    <xf numFmtId="165" fontId="4" fillId="0" borderId="0" xfId="0" applyNumberFormat="1" applyFont="1"/>
    <xf numFmtId="167" fontId="0" fillId="0" borderId="0" xfId="0" applyNumberFormat="1"/>
    <xf numFmtId="0" fontId="4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left"/>
    </xf>
    <xf numFmtId="0" fontId="2" fillId="0" borderId="0" xfId="0" applyFont="1" applyAlignment="1">
      <alignment horizontal="right"/>
    </xf>
    <xf numFmtId="165" fontId="2" fillId="0" borderId="0" xfId="0" applyNumberFormat="1" applyFont="1"/>
    <xf numFmtId="2" fontId="0" fillId="0" borderId="3" xfId="0" applyNumberFormat="1" applyBorder="1"/>
    <xf numFmtId="10" fontId="9" fillId="0" borderId="0" xfId="2" applyNumberFormat="1" applyFont="1" applyBorder="1"/>
    <xf numFmtId="10" fontId="9" fillId="0" borderId="0" xfId="0" applyNumberFormat="1" applyFont="1"/>
    <xf numFmtId="2" fontId="9" fillId="0" borderId="0" xfId="0" applyNumberFormat="1" applyFont="1"/>
    <xf numFmtId="2" fontId="9" fillId="0" borderId="0" xfId="2" applyNumberFormat="1" applyFont="1" applyBorder="1"/>
    <xf numFmtId="165" fontId="9" fillId="0" borderId="0" xfId="0" applyNumberFormat="1" applyFont="1"/>
    <xf numFmtId="2" fontId="11" fillId="0" borderId="0" xfId="0" applyNumberFormat="1" applyFont="1"/>
    <xf numFmtId="2" fontId="11" fillId="0" borderId="0" xfId="2" applyNumberFormat="1" applyFont="1" applyBorder="1"/>
    <xf numFmtId="2" fontId="2" fillId="0" borderId="0" xfId="0" applyNumberFormat="1" applyFont="1"/>
    <xf numFmtId="2" fontId="9" fillId="0" borderId="3" xfId="0" applyNumberFormat="1" applyFont="1" applyBorder="1"/>
    <xf numFmtId="4" fontId="0" fillId="0" borderId="3" xfId="0" applyNumberFormat="1" applyBorder="1"/>
    <xf numFmtId="2" fontId="10" fillId="0" borderId="3" xfId="0" applyNumberFormat="1" applyFont="1" applyBorder="1"/>
    <xf numFmtId="4" fontId="4" fillId="0" borderId="3" xfId="0" applyNumberFormat="1" applyFont="1" applyBorder="1"/>
    <xf numFmtId="10" fontId="4" fillId="0" borderId="0" xfId="2" applyNumberFormat="1" applyFont="1"/>
    <xf numFmtId="10" fontId="0" fillId="0" borderId="0" xfId="2" applyNumberFormat="1" applyFont="1"/>
    <xf numFmtId="10" fontId="0" fillId="0" borderId="0" xfId="0" applyNumberFormat="1"/>
    <xf numFmtId="168" fontId="4" fillId="0" borderId="0" xfId="2" applyNumberFormat="1" applyFont="1"/>
    <xf numFmtId="165" fontId="8" fillId="0" borderId="1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quotePrefix="1" applyFont="1"/>
    <xf numFmtId="0" fontId="4" fillId="4" borderId="0" xfId="0" applyFont="1" applyFill="1"/>
    <xf numFmtId="3" fontId="4" fillId="0" borderId="6" xfId="0" applyNumberFormat="1" applyFont="1" applyBorder="1"/>
    <xf numFmtId="3" fontId="4" fillId="0" borderId="8" xfId="0" applyNumberFormat="1" applyFont="1" applyBorder="1"/>
    <xf numFmtId="0" fontId="4" fillId="0" borderId="9" xfId="0" applyFont="1" applyBorder="1"/>
    <xf numFmtId="3" fontId="4" fillId="0" borderId="1" xfId="0" applyNumberFormat="1" applyFont="1" applyBorder="1"/>
    <xf numFmtId="0" fontId="4" fillId="0" borderId="1" xfId="0" applyFont="1" applyBorder="1"/>
    <xf numFmtId="3" fontId="4" fillId="0" borderId="10" xfId="0" applyNumberFormat="1" applyFont="1" applyBorder="1"/>
    <xf numFmtId="3" fontId="4" fillId="0" borderId="4" xfId="0" applyNumberFormat="1" applyFont="1" applyBorder="1"/>
    <xf numFmtId="0" fontId="4" fillId="0" borderId="5" xfId="0" applyFont="1" applyBorder="1"/>
    <xf numFmtId="3" fontId="4" fillId="0" borderId="7" xfId="0" applyNumberFormat="1" applyFont="1" applyBorder="1"/>
    <xf numFmtId="3" fontId="4" fillId="5" borderId="0" xfId="0" applyNumberFormat="1" applyFont="1" applyFill="1" applyAlignment="1">
      <alignment horizontal="center"/>
    </xf>
    <xf numFmtId="0" fontId="2" fillId="5" borderId="0" xfId="0" applyFont="1" applyFill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4" fillId="5" borderId="0" xfId="0" applyFont="1" applyFill="1"/>
    <xf numFmtId="3" fontId="2" fillId="5" borderId="0" xfId="0" applyNumberFormat="1" applyFont="1" applyFill="1"/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5" fillId="0" borderId="0" xfId="0" applyNumberFormat="1" applyFont="1"/>
    <xf numFmtId="3" fontId="2" fillId="0" borderId="1" xfId="0" applyNumberFormat="1" applyFont="1" applyBorder="1"/>
    <xf numFmtId="3" fontId="4" fillId="0" borderId="0" xfId="0" applyNumberFormat="1" applyFont="1" applyAlignment="1">
      <alignment horizontal="right"/>
    </xf>
    <xf numFmtId="3" fontId="4" fillId="5" borderId="0" xfId="0" applyNumberFormat="1" applyFont="1" applyFill="1"/>
    <xf numFmtId="3" fontId="12" fillId="0" borderId="0" xfId="0" applyNumberFormat="1" applyFont="1"/>
    <xf numFmtId="3" fontId="12" fillId="5" borderId="0" xfId="0" applyNumberFormat="1" applyFont="1" applyFill="1"/>
    <xf numFmtId="3" fontId="2" fillId="0" borderId="0" xfId="0" applyNumberFormat="1" applyFont="1" applyAlignment="1">
      <alignment horizontal="center"/>
    </xf>
    <xf numFmtId="3" fontId="13" fillId="0" borderId="0" xfId="0" applyNumberFormat="1" applyFont="1"/>
    <xf numFmtId="0" fontId="2" fillId="0" borderId="0" xfId="0" applyFont="1" applyAlignment="1">
      <alignment horizontal="left" indent="2"/>
    </xf>
    <xf numFmtId="3" fontId="2" fillId="5" borderId="1" xfId="0" applyNumberFormat="1" applyFont="1" applyFill="1" applyBorder="1"/>
    <xf numFmtId="3" fontId="4" fillId="0" borderId="1" xfId="0" applyNumberFormat="1" applyFont="1" applyBorder="1" applyAlignment="1">
      <alignment horizontal="right"/>
    </xf>
    <xf numFmtId="9" fontId="7" fillId="0" borderId="0" xfId="0" applyNumberFormat="1" applyFont="1"/>
    <xf numFmtId="9" fontId="4" fillId="0" borderId="0" xfId="0" applyNumberFormat="1" applyFont="1"/>
    <xf numFmtId="0" fontId="7" fillId="0" borderId="0" xfId="0" applyFont="1" applyAlignment="1">
      <alignment horizontal="left"/>
    </xf>
    <xf numFmtId="1" fontId="0" fillId="0" borderId="0" xfId="0" applyNumberFormat="1"/>
    <xf numFmtId="169" fontId="0" fillId="0" borderId="0" xfId="0" applyNumberFormat="1"/>
    <xf numFmtId="3" fontId="4" fillId="4" borderId="3" xfId="0" applyNumberFormat="1" applyFont="1" applyFill="1" applyBorder="1"/>
    <xf numFmtId="0" fontId="4" fillId="0" borderId="0" xfId="0" applyFont="1" applyAlignment="1">
      <alignment horizontal="left" indent="1"/>
    </xf>
    <xf numFmtId="9" fontId="6" fillId="0" borderId="0" xfId="0" applyNumberFormat="1" applyFont="1"/>
    <xf numFmtId="10" fontId="2" fillId="0" borderId="0" xfId="0" applyNumberFormat="1" applyFont="1"/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0" fillId="0" borderId="0" xfId="2" applyNumberFormat="1" applyFont="1" applyFill="1" applyBorder="1"/>
    <xf numFmtId="4" fontId="6" fillId="0" borderId="0" xfId="0" applyNumberFormat="1" applyFont="1"/>
    <xf numFmtId="3" fontId="2" fillId="0" borderId="0" xfId="0" applyNumberFormat="1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canuteson\Documents\PAYROLL\PRG%20PAYROLL%20EXP%2014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e 6-6-14"/>
      <sheetName val="we 6-20-14"/>
      <sheetName val="we 7-4-14"/>
      <sheetName val="we 7-18-14"/>
      <sheetName val="we 8-1-14"/>
      <sheetName val="we 8-15-14"/>
      <sheetName val="we 8-29-14"/>
      <sheetName val="we 9-12-14"/>
      <sheetName val="we 9-26-14"/>
      <sheetName val="we 10-10-14"/>
      <sheetName val="we 10-24-14"/>
      <sheetName val="we 11-7-14"/>
      <sheetName val="we 11-21-14"/>
      <sheetName val="we 12-5-14"/>
      <sheetName val="we 12-19-14"/>
      <sheetName val="we 1-2-15"/>
      <sheetName val="we 1-16-15"/>
      <sheetName val="we 1-30-15"/>
      <sheetName val="we 2-13-15"/>
      <sheetName val="we 2-27-15"/>
      <sheetName val="we 3-13-15"/>
      <sheetName val="we 3-27-15"/>
      <sheetName val="Allocation with leave"/>
      <sheetName val="TOTAL PY 14 hours"/>
    </sheetNames>
    <sheetDataSet>
      <sheetData sheetId="0" refreshError="1"/>
      <sheetData sheetId="1" refreshError="1"/>
      <sheetData sheetId="2" refreshError="1">
        <row r="8">
          <cell r="C8">
            <v>10.5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3" refreshError="1">
        <row r="8">
          <cell r="C8">
            <v>14.5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4" refreshError="1">
        <row r="8">
          <cell r="C8">
            <v>14.25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5" refreshError="1">
        <row r="8">
          <cell r="C8">
            <v>15.25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6" refreshError="1">
        <row r="8">
          <cell r="C8">
            <v>8.25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7" refreshError="1">
        <row r="8">
          <cell r="C8">
            <v>13.75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8" refreshError="1">
        <row r="8">
          <cell r="C8">
            <v>11.25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9" refreshError="1">
        <row r="8">
          <cell r="C8">
            <v>9.5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10" refreshError="1">
        <row r="8">
          <cell r="C8">
            <v>10.25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11" refreshError="1">
        <row r="8">
          <cell r="C8">
            <v>12.25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12" refreshError="1">
        <row r="8">
          <cell r="C8">
            <v>11.75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13" refreshError="1">
        <row r="8">
          <cell r="C8">
            <v>10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14" refreshError="1">
        <row r="8">
          <cell r="C8">
            <v>10.5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15" refreshError="1">
        <row r="8">
          <cell r="C8">
            <v>9.75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16" refreshError="1">
        <row r="8">
          <cell r="C8">
            <v>12.25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17" refreshError="1">
        <row r="8">
          <cell r="C8">
            <v>11.25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18" refreshError="1">
        <row r="8">
          <cell r="C8">
            <v>12.25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19" refreshError="1">
        <row r="8">
          <cell r="C8">
            <v>8.5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20" refreshError="1">
        <row r="8">
          <cell r="C8">
            <v>4.25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21" refreshError="1">
        <row r="8">
          <cell r="C8">
            <v>13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4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L13" sqref="L13"/>
    </sheetView>
  </sheetViews>
  <sheetFormatPr defaultRowHeight="12.75" x14ac:dyDescent="0.2"/>
  <cols>
    <col min="1" max="1" width="26.28515625" customWidth="1"/>
    <col min="2" max="2" width="10.7109375" style="3" customWidth="1"/>
    <col min="3" max="3" width="13.28515625" style="3" customWidth="1"/>
    <col min="4" max="4" width="14.42578125" style="3" bestFit="1" customWidth="1"/>
    <col min="5" max="5" width="1.42578125" style="3" customWidth="1"/>
    <col min="6" max="6" width="10.7109375" style="3" customWidth="1"/>
    <col min="7" max="7" width="13.28515625" style="3" customWidth="1"/>
    <col min="8" max="8" width="14.42578125" style="3" bestFit="1" customWidth="1"/>
    <col min="9" max="9" width="0.5703125" customWidth="1"/>
    <col min="10" max="10" width="16.140625" customWidth="1"/>
    <col min="11" max="11" width="9.140625" customWidth="1"/>
    <col min="12" max="12" width="16.85546875" bestFit="1" customWidth="1"/>
    <col min="13" max="15" width="9.140625" customWidth="1"/>
    <col min="16" max="16" width="11.7109375" customWidth="1"/>
    <col min="17" max="19" width="9.140625" customWidth="1"/>
    <col min="20" max="20" width="10.7109375" style="23" customWidth="1"/>
    <col min="22" max="22" width="9.7109375" bestFit="1" customWidth="1"/>
    <col min="23" max="23" width="13.42578125" style="23" bestFit="1" customWidth="1"/>
    <col min="24" max="24" width="10.7109375" bestFit="1" customWidth="1"/>
    <col min="25" max="25" width="11.28515625" style="11" bestFit="1" customWidth="1"/>
    <col min="26" max="26" width="10.7109375" bestFit="1" customWidth="1"/>
  </cols>
  <sheetData>
    <row r="1" spans="1:26" x14ac:dyDescent="0.2">
      <c r="A1" s="1"/>
      <c r="B1" s="2" t="s">
        <v>173</v>
      </c>
      <c r="F1" s="2"/>
    </row>
    <row r="2" spans="1:26" x14ac:dyDescent="0.2">
      <c r="A2" s="80" t="s">
        <v>193</v>
      </c>
      <c r="B2" s="4"/>
      <c r="F2" s="4"/>
    </row>
    <row r="3" spans="1:26" x14ac:dyDescent="0.2">
      <c r="A3" s="2" t="s">
        <v>172</v>
      </c>
      <c r="B3" s="4"/>
      <c r="F3" s="4"/>
    </row>
    <row r="4" spans="1:26" x14ac:dyDescent="0.2">
      <c r="A4" s="5" t="s">
        <v>203</v>
      </c>
      <c r="B4" s="126" t="s">
        <v>0</v>
      </c>
      <c r="C4" s="126"/>
      <c r="D4" s="126"/>
      <c r="E4" s="6"/>
      <c r="F4" s="126" t="s">
        <v>186</v>
      </c>
      <c r="G4" s="126"/>
      <c r="H4" s="126"/>
    </row>
    <row r="5" spans="1:26" x14ac:dyDescent="0.2">
      <c r="A5" s="42"/>
      <c r="B5" s="7"/>
      <c r="D5" s="7"/>
      <c r="F5" s="7"/>
      <c r="H5" s="7"/>
    </row>
    <row r="6" spans="1:26" x14ac:dyDescent="0.2">
      <c r="A6" s="2"/>
      <c r="B6" s="7" t="s">
        <v>1</v>
      </c>
      <c r="C6" s="7" t="s">
        <v>2</v>
      </c>
      <c r="D6" s="7" t="s">
        <v>3</v>
      </c>
      <c r="F6" s="7" t="s">
        <v>1</v>
      </c>
      <c r="G6" s="7" t="s">
        <v>2</v>
      </c>
      <c r="H6" s="7" t="s">
        <v>3</v>
      </c>
    </row>
    <row r="7" spans="1:26" x14ac:dyDescent="0.2">
      <c r="B7" s="7" t="s">
        <v>4</v>
      </c>
      <c r="C7" s="7" t="s">
        <v>5</v>
      </c>
      <c r="D7" s="7" t="s">
        <v>6</v>
      </c>
      <c r="E7" s="7"/>
      <c r="F7" s="7" t="s">
        <v>4</v>
      </c>
      <c r="G7" s="7" t="s">
        <v>5</v>
      </c>
      <c r="H7" s="7" t="s">
        <v>6</v>
      </c>
    </row>
    <row r="8" spans="1:26" x14ac:dyDescent="0.2">
      <c r="A8" s="2" t="s">
        <v>7</v>
      </c>
      <c r="B8" s="7"/>
      <c r="C8" s="7"/>
      <c r="D8" s="7"/>
      <c r="E8" s="7"/>
      <c r="F8" s="7"/>
      <c r="G8" s="7"/>
      <c r="H8" s="7"/>
    </row>
    <row r="9" spans="1:26" x14ac:dyDescent="0.2">
      <c r="A9" s="42" t="s">
        <v>174</v>
      </c>
      <c r="B9" s="3">
        <v>396648</v>
      </c>
      <c r="F9" s="3">
        <v>360568</v>
      </c>
      <c r="I9" s="10">
        <f>(B9/F9)-1</f>
        <v>0.10006434292560629</v>
      </c>
      <c r="J9" s="121"/>
    </row>
    <row r="10" spans="1:26" x14ac:dyDescent="0.2">
      <c r="A10" s="9"/>
      <c r="I10" s="10"/>
      <c r="J10" s="11"/>
      <c r="K10" s="3"/>
      <c r="S10" s="3"/>
    </row>
    <row r="11" spans="1:26" x14ac:dyDescent="0.2">
      <c r="A11" s="12" t="s">
        <v>197</v>
      </c>
      <c r="B11" s="13">
        <v>165036.07999999999</v>
      </c>
      <c r="F11" s="13">
        <v>224968</v>
      </c>
      <c r="I11" s="10"/>
      <c r="J11" s="3"/>
      <c r="X11" s="23"/>
    </row>
    <row r="12" spans="1:26" x14ac:dyDescent="0.2">
      <c r="B12" s="3">
        <f>SUM(B9:B11)</f>
        <v>561684.07999999996</v>
      </c>
      <c r="C12" s="3">
        <f>270516+9276.8-11</f>
        <v>279781.8</v>
      </c>
      <c r="D12" s="3">
        <f>B12+B13-C12</f>
        <v>242237.27999999997</v>
      </c>
      <c r="F12" s="3">
        <f>SUM(F9:F11)</f>
        <v>585536</v>
      </c>
      <c r="G12" s="3">
        <v>296708</v>
      </c>
      <c r="H12" s="3">
        <f>F12+F13-G12</f>
        <v>252771</v>
      </c>
      <c r="J12" s="3"/>
      <c r="K12" s="11"/>
      <c r="L12" s="3"/>
      <c r="N12" s="3"/>
      <c r="S12" s="3"/>
      <c r="V12" s="3"/>
      <c r="X12" s="23"/>
    </row>
    <row r="13" spans="1:26" x14ac:dyDescent="0.2">
      <c r="A13" s="79" t="s">
        <v>175</v>
      </c>
      <c r="B13" s="13">
        <f>-ROUND(B9*0.1,)</f>
        <v>-39665</v>
      </c>
      <c r="C13" s="13"/>
      <c r="D13" s="15">
        <f>-B13</f>
        <v>39665</v>
      </c>
      <c r="F13" s="13">
        <f>-ROUND(F9*0.1,)</f>
        <v>-36057</v>
      </c>
      <c r="G13" s="13"/>
      <c r="H13" s="15">
        <f>-F13</f>
        <v>36057</v>
      </c>
      <c r="I13" s="3"/>
      <c r="K13" s="3"/>
      <c r="S13" s="3"/>
      <c r="V13" s="3"/>
      <c r="X13" s="23"/>
    </row>
    <row r="14" spans="1:26" x14ac:dyDescent="0.2">
      <c r="C14" s="16"/>
      <c r="G14" s="16"/>
      <c r="J14" s="42"/>
      <c r="V14" s="3"/>
      <c r="X14" s="23"/>
      <c r="Z14" s="23"/>
    </row>
    <row r="15" spans="1:26" s="18" customFormat="1" x14ac:dyDescent="0.2">
      <c r="A15" s="39" t="s">
        <v>8</v>
      </c>
      <c r="B15" s="40">
        <f>B12</f>
        <v>561684.07999999996</v>
      </c>
      <c r="C15" s="40">
        <f>SUM(C9:C14)</f>
        <v>279781.8</v>
      </c>
      <c r="D15" s="40">
        <f>SUM(D12:D14)</f>
        <v>281902.27999999997</v>
      </c>
      <c r="E15" s="40"/>
      <c r="F15" s="40">
        <f>F12</f>
        <v>585536</v>
      </c>
      <c r="G15" s="40">
        <f>SUM(G9:G14)</f>
        <v>296708</v>
      </c>
      <c r="H15" s="40">
        <f>SUM(H12:H14)</f>
        <v>288828</v>
      </c>
      <c r="T15" s="30"/>
      <c r="V15" s="25"/>
      <c r="W15" s="30"/>
      <c r="X15" s="30"/>
      <c r="Y15" s="113"/>
      <c r="Z15" s="23"/>
    </row>
    <row r="16" spans="1:26" x14ac:dyDescent="0.2">
      <c r="K16" s="11"/>
      <c r="V16" s="3"/>
      <c r="Y16" s="113"/>
      <c r="Z16" s="23"/>
    </row>
    <row r="17" spans="1:28" x14ac:dyDescent="0.2">
      <c r="A17" s="2" t="s">
        <v>9</v>
      </c>
      <c r="K17" s="11"/>
      <c r="X17" s="3"/>
      <c r="Y17" s="113"/>
    </row>
    <row r="18" spans="1:28" x14ac:dyDescent="0.2">
      <c r="A18" s="42" t="s">
        <v>174</v>
      </c>
      <c r="B18" s="3">
        <v>425000</v>
      </c>
      <c r="F18" s="3">
        <v>377137</v>
      </c>
      <c r="I18" s="10">
        <f>(B18/F18)-1</f>
        <v>0.12691144067010129</v>
      </c>
      <c r="J18" s="121"/>
      <c r="K18" s="11"/>
      <c r="R18" s="3"/>
    </row>
    <row r="19" spans="1:28" x14ac:dyDescent="0.2">
      <c r="A19" s="9"/>
      <c r="J19" s="41"/>
      <c r="K19" s="3"/>
      <c r="R19" s="3"/>
    </row>
    <row r="20" spans="1:28" x14ac:dyDescent="0.2">
      <c r="A20" s="12" t="s">
        <v>197</v>
      </c>
      <c r="B20" s="13">
        <v>172904.56</v>
      </c>
      <c r="F20" s="13">
        <v>123639</v>
      </c>
      <c r="J20" s="3"/>
      <c r="R20" s="3"/>
      <c r="V20" s="3"/>
    </row>
    <row r="21" spans="1:28" x14ac:dyDescent="0.2">
      <c r="B21" s="3">
        <f>SUM(B18:B20)</f>
        <v>597904.56000000006</v>
      </c>
      <c r="C21" s="3">
        <f>289853+9945.6-12</f>
        <v>299786.59999999998</v>
      </c>
      <c r="D21" s="3">
        <f>B21+B22-C21</f>
        <v>255617.96000000008</v>
      </c>
      <c r="F21" s="3">
        <f>SUM(F18:F20)</f>
        <v>500776</v>
      </c>
      <c r="G21" s="3">
        <v>254321</v>
      </c>
      <c r="H21" s="3">
        <f>F21+F22-G21</f>
        <v>208741</v>
      </c>
      <c r="J21" s="11"/>
      <c r="K21" s="18"/>
      <c r="L21" s="3"/>
      <c r="V21" s="3"/>
      <c r="X21" s="3"/>
    </row>
    <row r="22" spans="1:28" x14ac:dyDescent="0.2">
      <c r="A22" s="79" t="s">
        <v>175</v>
      </c>
      <c r="B22" s="13">
        <f>-ROUND((B18)*0.1,0)</f>
        <v>-42500</v>
      </c>
      <c r="C22" s="13"/>
      <c r="D22" s="15">
        <f>-B22</f>
        <v>42500</v>
      </c>
      <c r="F22" s="13">
        <f>-ROUND((F18)*0.1,0)</f>
        <v>-37714</v>
      </c>
      <c r="G22" s="13"/>
      <c r="H22" s="15">
        <f>-F22</f>
        <v>37714</v>
      </c>
      <c r="K22" s="3"/>
      <c r="X22" s="11"/>
    </row>
    <row r="23" spans="1:28" x14ac:dyDescent="0.2">
      <c r="C23" s="16"/>
      <c r="G23" s="16"/>
      <c r="J23" s="42"/>
      <c r="K23" s="3"/>
      <c r="R23" s="3"/>
      <c r="X23" s="11"/>
    </row>
    <row r="24" spans="1:28" s="18" customFormat="1" x14ac:dyDescent="0.2">
      <c r="A24" s="39" t="s">
        <v>10</v>
      </c>
      <c r="B24" s="40">
        <f>B21</f>
        <v>597904.56000000006</v>
      </c>
      <c r="C24" s="40">
        <f>SUM(C18:C23)</f>
        <v>299786.59999999998</v>
      </c>
      <c r="D24" s="40">
        <f>SUM(D18:D23)</f>
        <v>298117.96000000008</v>
      </c>
      <c r="E24" s="40"/>
      <c r="F24" s="40">
        <f>F21</f>
        <v>500776</v>
      </c>
      <c r="G24" s="40">
        <f>SUM(G18:G23)</f>
        <v>254321</v>
      </c>
      <c r="H24" s="40">
        <f>SUM(H18:H23)</f>
        <v>246455</v>
      </c>
      <c r="K24" s="3"/>
      <c r="T24" s="30"/>
      <c r="V24" s="25"/>
      <c r="W24" s="30"/>
      <c r="Y24" s="110"/>
    </row>
    <row r="25" spans="1:28" x14ac:dyDescent="0.2">
      <c r="K25" s="3"/>
      <c r="S25" s="3"/>
      <c r="V25" s="3"/>
      <c r="Y25" s="114"/>
    </row>
    <row r="26" spans="1:28" x14ac:dyDescent="0.2">
      <c r="A26" s="2" t="s">
        <v>11</v>
      </c>
      <c r="K26" s="3"/>
      <c r="Q26" s="3"/>
      <c r="V26" s="3"/>
      <c r="Y26" s="114"/>
      <c r="AA26" s="3"/>
    </row>
    <row r="27" spans="1:28" x14ac:dyDescent="0.2">
      <c r="A27" s="42" t="s">
        <v>174</v>
      </c>
      <c r="B27" s="3">
        <v>404071</v>
      </c>
      <c r="F27" s="3">
        <v>364479</v>
      </c>
      <c r="I27" s="10">
        <f>(B27/F27)-1</f>
        <v>0.1086262857393705</v>
      </c>
      <c r="J27" s="121"/>
      <c r="K27" s="3"/>
      <c r="T27" s="122"/>
      <c r="U27" s="9"/>
      <c r="Y27" s="114"/>
      <c r="AA27" s="3"/>
    </row>
    <row r="28" spans="1:28" x14ac:dyDescent="0.2">
      <c r="A28" s="12" t="s">
        <v>197</v>
      </c>
      <c r="B28" s="13">
        <v>205797.24</v>
      </c>
      <c r="F28" s="13">
        <v>204641</v>
      </c>
      <c r="I28" s="10"/>
      <c r="J28" s="3"/>
      <c r="K28" s="3"/>
      <c r="L28" s="3"/>
      <c r="S28" s="36"/>
      <c r="V28" s="3"/>
      <c r="X28" s="3"/>
      <c r="AA28" s="3"/>
      <c r="AB28" s="3"/>
    </row>
    <row r="29" spans="1:28" x14ac:dyDescent="0.2">
      <c r="B29" s="3">
        <f>SUM(B27:B28)</f>
        <v>609868.24</v>
      </c>
      <c r="C29" s="3">
        <f>275579+12495-32730-12</f>
        <v>255332</v>
      </c>
      <c r="D29" s="3">
        <f>B29+B30-C29</f>
        <v>314129.24</v>
      </c>
      <c r="F29" s="3">
        <f>SUM(F27:F28)</f>
        <v>569120</v>
      </c>
      <c r="G29" s="3">
        <v>296708</v>
      </c>
      <c r="H29" s="3">
        <f>F29+F30-G29</f>
        <v>235964</v>
      </c>
      <c r="K29" s="3"/>
      <c r="L29" s="3"/>
      <c r="S29" s="36"/>
      <c r="V29" s="3"/>
      <c r="AA29" s="3"/>
    </row>
    <row r="30" spans="1:28" x14ac:dyDescent="0.2">
      <c r="A30" s="79" t="s">
        <v>175</v>
      </c>
      <c r="B30" s="13">
        <f>-ROUND((B27)*0.1,0)</f>
        <v>-40407</v>
      </c>
      <c r="C30" s="13"/>
      <c r="D30" s="15">
        <f>-B30</f>
        <v>40407</v>
      </c>
      <c r="F30" s="13">
        <f>-ROUND((F27)*0.1,0)</f>
        <v>-36448</v>
      </c>
      <c r="G30" s="13"/>
      <c r="H30" s="15">
        <f>-F30</f>
        <v>36448</v>
      </c>
      <c r="J30" s="121"/>
      <c r="K30" s="3"/>
      <c r="R30" s="3"/>
      <c r="S30" s="36"/>
      <c r="V30" s="3"/>
      <c r="AA30" s="3"/>
    </row>
    <row r="31" spans="1:28" x14ac:dyDescent="0.2">
      <c r="A31" s="14"/>
      <c r="K31" s="3"/>
      <c r="R31" s="3"/>
      <c r="S31" s="74"/>
      <c r="V31" s="3"/>
    </row>
    <row r="32" spans="1:28" s="18" customFormat="1" x14ac:dyDescent="0.2">
      <c r="A32" s="39" t="s">
        <v>12</v>
      </c>
      <c r="B32" s="40">
        <f>B29</f>
        <v>609868.24</v>
      </c>
      <c r="C32" s="40">
        <f>SUM(C29:C31)</f>
        <v>255332</v>
      </c>
      <c r="D32" s="40">
        <f>SUM(D29:D31)</f>
        <v>354536.24</v>
      </c>
      <c r="E32" s="40"/>
      <c r="F32" s="40">
        <f>F29</f>
        <v>569120</v>
      </c>
      <c r="G32" s="40">
        <f>SUM(G29:G31)</f>
        <v>296708</v>
      </c>
      <c r="H32" s="40">
        <f>SUM(H29:H31)</f>
        <v>272412</v>
      </c>
      <c r="K32" s="3"/>
      <c r="S32" s="74"/>
      <c r="T32" s="30"/>
      <c r="W32" s="30"/>
      <c r="Y32" s="110"/>
    </row>
    <row r="33" spans="1:22" x14ac:dyDescent="0.2">
      <c r="K33" s="3"/>
      <c r="S33" s="74"/>
      <c r="V33" s="3"/>
    </row>
    <row r="34" spans="1:22" x14ac:dyDescent="0.2">
      <c r="A34" s="39" t="s">
        <v>198</v>
      </c>
      <c r="B34" s="40">
        <v>74417.06</v>
      </c>
      <c r="C34" s="40">
        <v>0</v>
      </c>
      <c r="D34" s="40">
        <v>74417.06</v>
      </c>
      <c r="E34" s="40"/>
      <c r="F34" s="40">
        <v>57842</v>
      </c>
      <c r="G34" s="40">
        <v>0</v>
      </c>
      <c r="H34" s="40">
        <v>57842</v>
      </c>
      <c r="J34" s="41"/>
      <c r="K34" s="3"/>
      <c r="S34" s="36"/>
      <c r="V34" s="3"/>
    </row>
    <row r="35" spans="1:22" x14ac:dyDescent="0.2">
      <c r="A35" s="18"/>
      <c r="S35" s="36"/>
    </row>
    <row r="36" spans="1:22" x14ac:dyDescent="0.2">
      <c r="A36" s="39" t="s">
        <v>102</v>
      </c>
      <c r="B36" s="40">
        <f>B15+B24+B32+B34</f>
        <v>1843873.9400000002</v>
      </c>
      <c r="C36" s="40">
        <f>C15+C24+C32+C34</f>
        <v>834900.39999999991</v>
      </c>
      <c r="D36" s="40">
        <f>D15+D24+D32+D34</f>
        <v>1008973.54</v>
      </c>
      <c r="E36" s="40"/>
      <c r="F36" s="40">
        <f>F15+F24+F32+F34</f>
        <v>1713274</v>
      </c>
      <c r="G36" s="40">
        <f>G15+G24+G32+G34</f>
        <v>847737</v>
      </c>
      <c r="H36" s="40">
        <f>H15+H24+H32+H34</f>
        <v>865537</v>
      </c>
      <c r="I36" s="22">
        <f>(B36/F36)-1</f>
        <v>7.6228285726626543E-2</v>
      </c>
      <c r="J36" s="3"/>
    </row>
    <row r="37" spans="1:22" x14ac:dyDescent="0.2">
      <c r="A37" s="32"/>
      <c r="B37" s="25"/>
      <c r="C37" s="25"/>
      <c r="D37" s="25"/>
      <c r="E37" s="25"/>
      <c r="F37" s="25"/>
      <c r="G37" s="25"/>
      <c r="H37" s="25"/>
      <c r="I37" s="22"/>
      <c r="K37" s="3"/>
    </row>
    <row r="38" spans="1:22" x14ac:dyDescent="0.2">
      <c r="A38" s="42" t="s">
        <v>199</v>
      </c>
      <c r="B38" s="21">
        <f>C38</f>
        <v>30845</v>
      </c>
      <c r="C38" s="3">
        <v>30845</v>
      </c>
      <c r="D38" s="25">
        <v>0</v>
      </c>
      <c r="E38" s="25"/>
      <c r="F38" s="21"/>
      <c r="H38" s="25">
        <v>21680</v>
      </c>
      <c r="I38" s="22"/>
      <c r="K38" s="3"/>
    </row>
    <row r="39" spans="1:22" x14ac:dyDescent="0.2">
      <c r="A39" s="42" t="s">
        <v>200</v>
      </c>
      <c r="B39" s="41">
        <f>C39+D39</f>
        <v>100000</v>
      </c>
      <c r="C39" s="41">
        <v>0</v>
      </c>
      <c r="D39" s="41">
        <v>100000</v>
      </c>
      <c r="E39" s="4"/>
      <c r="F39" s="41">
        <f>G39+H39</f>
        <v>0</v>
      </c>
      <c r="G39" s="41">
        <v>0</v>
      </c>
      <c r="H39" s="41">
        <v>0</v>
      </c>
      <c r="I39" s="22"/>
    </row>
    <row r="40" spans="1:22" x14ac:dyDescent="0.2">
      <c r="A40" s="42" t="s">
        <v>201</v>
      </c>
      <c r="B40" s="3">
        <f>C40+D40</f>
        <v>334327</v>
      </c>
      <c r="C40" s="3">
        <f>307326+1</f>
        <v>307327</v>
      </c>
      <c r="D40" s="3">
        <v>27000</v>
      </c>
      <c r="F40" s="3">
        <f>G40+H40</f>
        <v>314173</v>
      </c>
      <c r="G40" s="3">
        <f>289092-1240</f>
        <v>287852</v>
      </c>
      <c r="H40" s="3">
        <v>26321</v>
      </c>
      <c r="K40" s="3"/>
    </row>
    <row r="41" spans="1:22" x14ac:dyDescent="0.2">
      <c r="A41" s="18"/>
      <c r="B41" s="13"/>
      <c r="C41" s="13"/>
      <c r="D41" s="13"/>
      <c r="F41" s="13"/>
      <c r="G41" s="13"/>
      <c r="H41" s="13"/>
    </row>
    <row r="42" spans="1:22" x14ac:dyDescent="0.2">
      <c r="A42" s="39" t="s">
        <v>13</v>
      </c>
      <c r="B42" s="40">
        <f>SUM(B36:B41)</f>
        <v>2309045.9400000004</v>
      </c>
      <c r="C42" s="40">
        <f>SUM(C36:C41)</f>
        <v>1173072.3999999999</v>
      </c>
      <c r="D42" s="40">
        <f>SUM(D36:D41)</f>
        <v>1135973.54</v>
      </c>
      <c r="E42" s="40"/>
      <c r="F42" s="40">
        <f>SUM(F36:F41)</f>
        <v>2027447</v>
      </c>
      <c r="G42" s="40">
        <f>SUM(G36:G41)</f>
        <v>1135589</v>
      </c>
      <c r="H42" s="40">
        <f>SUM(H36:H41)</f>
        <v>913538</v>
      </c>
      <c r="V42" s="3"/>
    </row>
    <row r="43" spans="1:22" x14ac:dyDescent="0.2">
      <c r="R43" s="3"/>
    </row>
    <row r="44" spans="1:22" x14ac:dyDescent="0.2">
      <c r="A44" s="18" t="s">
        <v>14</v>
      </c>
      <c r="L44" s="23"/>
      <c r="M44" s="9"/>
    </row>
    <row r="45" spans="1:22" x14ac:dyDescent="0.2">
      <c r="A45" s="42" t="s">
        <v>137</v>
      </c>
      <c r="B45" s="3">
        <v>54072</v>
      </c>
      <c r="D45" s="3">
        <f t="shared" ref="D45:D51" si="0">B45</f>
        <v>54072</v>
      </c>
      <c r="F45" s="3">
        <v>54072</v>
      </c>
      <c r="H45" s="3">
        <f t="shared" ref="H45:H51" si="1">F45</f>
        <v>54072</v>
      </c>
      <c r="K45" s="3"/>
      <c r="L45" s="23"/>
      <c r="M45" s="9"/>
    </row>
    <row r="46" spans="1:22" x14ac:dyDescent="0.2">
      <c r="A46" s="9" t="s">
        <v>15</v>
      </c>
      <c r="B46" s="3">
        <f>12600-3791</f>
        <v>8809</v>
      </c>
      <c r="D46" s="3">
        <f t="shared" si="0"/>
        <v>8809</v>
      </c>
      <c r="F46" s="3">
        <v>20380</v>
      </c>
      <c r="H46" s="3">
        <f t="shared" si="1"/>
        <v>20380</v>
      </c>
      <c r="L46" s="23"/>
      <c r="M46" s="9"/>
    </row>
    <row r="47" spans="1:22" x14ac:dyDescent="0.2">
      <c r="A47" s="42" t="s">
        <v>190</v>
      </c>
      <c r="B47" s="3">
        <v>8935</v>
      </c>
      <c r="D47" s="3">
        <f t="shared" si="0"/>
        <v>8935</v>
      </c>
      <c r="F47" s="3">
        <v>15429</v>
      </c>
      <c r="H47" s="3">
        <f t="shared" si="1"/>
        <v>15429</v>
      </c>
      <c r="L47" s="23"/>
      <c r="Q47" s="3"/>
    </row>
    <row r="48" spans="1:22" x14ac:dyDescent="0.2">
      <c r="A48" s="42" t="s">
        <v>191</v>
      </c>
      <c r="B48" s="3">
        <v>5930</v>
      </c>
      <c r="D48" s="3">
        <f>B48</f>
        <v>5930</v>
      </c>
      <c r="L48" s="23"/>
      <c r="Q48" s="3"/>
    </row>
    <row r="49" spans="1:25" x14ac:dyDescent="0.2">
      <c r="A49" t="s">
        <v>17</v>
      </c>
      <c r="B49" s="3">
        <v>5900</v>
      </c>
      <c r="D49" s="3">
        <f t="shared" si="0"/>
        <v>5900</v>
      </c>
      <c r="F49" s="3">
        <v>6865</v>
      </c>
      <c r="H49" s="3">
        <f t="shared" si="1"/>
        <v>6865</v>
      </c>
      <c r="K49" s="18"/>
      <c r="L49" s="23"/>
    </row>
    <row r="50" spans="1:25" x14ac:dyDescent="0.2">
      <c r="A50" s="24" t="s">
        <v>18</v>
      </c>
      <c r="B50" s="3">
        <v>20592</v>
      </c>
      <c r="D50" s="3">
        <f t="shared" si="0"/>
        <v>20592</v>
      </c>
      <c r="F50" s="3">
        <v>20592</v>
      </c>
      <c r="H50" s="3">
        <f t="shared" si="1"/>
        <v>20592</v>
      </c>
      <c r="L50" s="23"/>
    </row>
    <row r="51" spans="1:25" x14ac:dyDescent="0.2">
      <c r="A51" s="24" t="s">
        <v>134</v>
      </c>
      <c r="B51" s="13">
        <v>0</v>
      </c>
      <c r="C51" s="13"/>
      <c r="D51" s="13">
        <f t="shared" si="0"/>
        <v>0</v>
      </c>
      <c r="E51" s="13"/>
      <c r="F51" s="13">
        <v>8100</v>
      </c>
      <c r="G51" s="13"/>
      <c r="H51" s="13">
        <f t="shared" si="1"/>
        <v>8100</v>
      </c>
      <c r="J51" s="3"/>
      <c r="K51" s="2"/>
      <c r="L51" s="23"/>
    </row>
    <row r="52" spans="1:25" s="18" customFormat="1" x14ac:dyDescent="0.2">
      <c r="A52" s="112" t="s">
        <v>19</v>
      </c>
      <c r="B52" s="25">
        <f>SUM(B45:B51)</f>
        <v>104238</v>
      </c>
      <c r="C52" s="25"/>
      <c r="D52" s="25">
        <f>SUM(D45:D51)</f>
        <v>104238</v>
      </c>
      <c r="E52" s="25"/>
      <c r="F52" s="25">
        <f>SUM(F45:F51)</f>
        <v>125438</v>
      </c>
      <c r="G52" s="25"/>
      <c r="H52" s="25">
        <f>SUM(H45:H51)</f>
        <v>125438</v>
      </c>
      <c r="K52"/>
      <c r="L52" s="23"/>
      <c r="T52" s="30"/>
      <c r="W52" s="30"/>
      <c r="Y52" s="110"/>
    </row>
    <row r="53" spans="1:25" x14ac:dyDescent="0.2">
      <c r="L53" s="23"/>
    </row>
    <row r="54" spans="1:25" s="2" customFormat="1" x14ac:dyDescent="0.2">
      <c r="A54" s="39" t="s">
        <v>20</v>
      </c>
      <c r="B54" s="40">
        <f>B42+B52</f>
        <v>2413283.9400000004</v>
      </c>
      <c r="C54" s="40">
        <f>C42+C52</f>
        <v>1173072.3999999999</v>
      </c>
      <c r="D54" s="40">
        <f>D42+D52</f>
        <v>1240211.54</v>
      </c>
      <c r="E54" s="40"/>
      <c r="F54" s="40">
        <f>F42+F52</f>
        <v>2152885</v>
      </c>
      <c r="G54" s="40">
        <f>G42+G52</f>
        <v>1135589</v>
      </c>
      <c r="H54" s="40">
        <f>H42+H52</f>
        <v>1038976</v>
      </c>
      <c r="K54" s="3"/>
      <c r="R54" s="4"/>
      <c r="T54" s="38"/>
      <c r="W54" s="38"/>
      <c r="Y54" s="111"/>
    </row>
    <row r="55" spans="1:25" ht="11.25" customHeight="1" x14ac:dyDescent="0.2">
      <c r="L55" s="23"/>
    </row>
    <row r="56" spans="1:25" x14ac:dyDescent="0.2">
      <c r="A56" s="21" t="s">
        <v>21</v>
      </c>
      <c r="B56" s="3">
        <f>C56+D56</f>
        <v>2007824</v>
      </c>
      <c r="C56" s="3">
        <f>'BY22 Final PIC budget'!B79</f>
        <v>1173072</v>
      </c>
      <c r="D56" s="21">
        <f>'BY22 Final WIB budget'!B51</f>
        <v>834752</v>
      </c>
      <c r="F56" s="3">
        <v>1741488</v>
      </c>
      <c r="G56" s="3">
        <f>G54</f>
        <v>1135589</v>
      </c>
      <c r="H56" s="21">
        <v>605899</v>
      </c>
      <c r="L56" s="23"/>
    </row>
    <row r="57" spans="1:25" x14ac:dyDescent="0.2">
      <c r="A57" s="21"/>
      <c r="D57" s="21"/>
      <c r="H57" s="21"/>
      <c r="L57" s="23"/>
    </row>
    <row r="58" spans="1:25" x14ac:dyDescent="0.2">
      <c r="A58" s="4" t="s">
        <v>171</v>
      </c>
      <c r="B58" s="4"/>
      <c r="C58" s="4"/>
      <c r="D58" s="4">
        <f>B54-B56</f>
        <v>405459.94000000041</v>
      </c>
      <c r="F58" s="4"/>
      <c r="G58" s="4"/>
      <c r="H58" s="4">
        <f>F54-F56</f>
        <v>411397</v>
      </c>
      <c r="L58" s="127"/>
      <c r="M58" s="127"/>
      <c r="N58" s="124"/>
      <c r="O58" s="124"/>
      <c r="P58" s="120"/>
    </row>
    <row r="59" spans="1:25" x14ac:dyDescent="0.2">
      <c r="A59" s="4"/>
      <c r="B59" s="4"/>
      <c r="C59" s="4"/>
      <c r="D59" s="4"/>
      <c r="F59" s="4"/>
      <c r="G59" s="4"/>
      <c r="H59" s="4"/>
      <c r="L59" s="119"/>
      <c r="M59" s="119"/>
      <c r="N59" s="120"/>
      <c r="O59" s="120"/>
      <c r="P59" s="120"/>
    </row>
    <row r="60" spans="1:25" x14ac:dyDescent="0.2">
      <c r="A60" s="4" t="s">
        <v>178</v>
      </c>
      <c r="B60" s="4"/>
      <c r="C60" s="4"/>
      <c r="D60" s="4">
        <v>245144.24260600001</v>
      </c>
      <c r="F60" s="4" t="s">
        <v>177</v>
      </c>
      <c r="G60" s="4"/>
      <c r="H60" s="4">
        <v>218936</v>
      </c>
      <c r="L60" s="119"/>
      <c r="M60" s="119"/>
      <c r="N60" s="120"/>
      <c r="O60" s="120"/>
      <c r="P60" s="120"/>
    </row>
    <row r="61" spans="1:25" x14ac:dyDescent="0.2">
      <c r="A61" s="4"/>
      <c r="B61" s="4"/>
      <c r="C61" s="4"/>
      <c r="D61" s="4"/>
      <c r="F61" s="4"/>
      <c r="G61" s="4"/>
      <c r="H61" s="4"/>
      <c r="L61" s="119"/>
      <c r="M61" s="119"/>
      <c r="N61" s="120"/>
      <c r="O61" s="120"/>
      <c r="P61" s="120"/>
    </row>
    <row r="62" spans="1:25" x14ac:dyDescent="0.2">
      <c r="A62" s="4" t="s">
        <v>149</v>
      </c>
      <c r="C62" s="105"/>
      <c r="D62" s="115">
        <f>D58-D60</f>
        <v>160315.6973940004</v>
      </c>
      <c r="G62" s="105"/>
      <c r="H62" s="115">
        <f>H58-H60</f>
        <v>192461</v>
      </c>
      <c r="L62" s="119"/>
      <c r="M62" s="119"/>
      <c r="N62" s="120"/>
      <c r="O62" s="120"/>
      <c r="P62" s="120"/>
    </row>
    <row r="63" spans="1:25" x14ac:dyDescent="0.2">
      <c r="A63" s="4"/>
      <c r="D63" s="4"/>
      <c r="H63" s="4"/>
      <c r="L63" s="119"/>
      <c r="M63" s="119"/>
      <c r="N63" s="120"/>
      <c r="O63" s="120"/>
      <c r="P63" s="120"/>
    </row>
    <row r="64" spans="1:25" ht="12.75" hidden="1" customHeight="1" x14ac:dyDescent="0.2">
      <c r="A64" s="9" t="s">
        <v>23</v>
      </c>
      <c r="L64" s="119"/>
      <c r="M64" s="119"/>
      <c r="N64" s="120"/>
      <c r="O64" s="120"/>
      <c r="P64" s="120"/>
    </row>
    <row r="65" spans="1:25" ht="12.75" hidden="1" customHeight="1" x14ac:dyDescent="0.2">
      <c r="A65" s="41" t="s">
        <v>162</v>
      </c>
      <c r="L65" s="9"/>
    </row>
    <row r="66" spans="1:25" ht="12.75" hidden="1" customHeight="1" x14ac:dyDescent="0.2">
      <c r="A66" s="41" t="s">
        <v>167</v>
      </c>
      <c r="L66" s="9"/>
    </row>
    <row r="67" spans="1:25" ht="12.75" hidden="1" customHeight="1" x14ac:dyDescent="0.2">
      <c r="A67" s="41" t="s">
        <v>166</v>
      </c>
      <c r="L67" s="9"/>
    </row>
    <row r="68" spans="1:25" ht="12.75" hidden="1" customHeight="1" x14ac:dyDescent="0.2">
      <c r="A68" s="41" t="s">
        <v>165</v>
      </c>
    </row>
    <row r="69" spans="1:25" ht="12.75" hidden="1" customHeight="1" x14ac:dyDescent="0.2">
      <c r="A69" s="24" t="s">
        <v>164</v>
      </c>
      <c r="M69" s="9"/>
    </row>
    <row r="70" spans="1:25" ht="12.75" hidden="1" customHeight="1" x14ac:dyDescent="0.2">
      <c r="A70" s="24" t="s">
        <v>161</v>
      </c>
      <c r="M70" s="9"/>
    </row>
    <row r="71" spans="1:25" ht="12.75" hidden="1" customHeight="1" x14ac:dyDescent="0.2">
      <c r="A71" s="41" t="s">
        <v>145</v>
      </c>
    </row>
    <row r="72" spans="1:25" ht="12.75" hidden="1" customHeight="1" x14ac:dyDescent="0.2">
      <c r="A72" s="41" t="s">
        <v>155</v>
      </c>
    </row>
    <row r="73" spans="1:25" ht="12.75" hidden="1" customHeight="1" x14ac:dyDescent="0.2">
      <c r="A73" s="41" t="s">
        <v>159</v>
      </c>
    </row>
    <row r="74" spans="1:25" s="4" customFormat="1" ht="12.75" hidden="1" customHeight="1" x14ac:dyDescent="0.2">
      <c r="A74" s="41" t="s">
        <v>160</v>
      </c>
      <c r="W74" s="38"/>
      <c r="Y74" s="111"/>
    </row>
    <row r="75" spans="1:25" ht="12.75" hidden="1" customHeight="1" x14ac:dyDescent="0.2">
      <c r="A75" s="2" t="s">
        <v>139</v>
      </c>
      <c r="B75"/>
      <c r="C75"/>
      <c r="F75"/>
      <c r="G75"/>
    </row>
    <row r="76" spans="1:25" ht="12.75" hidden="1" customHeight="1" x14ac:dyDescent="0.2">
      <c r="A76" s="41" t="s">
        <v>141</v>
      </c>
      <c r="B76" s="2"/>
      <c r="C76" s="2"/>
      <c r="D76" s="4"/>
      <c r="E76" s="4"/>
      <c r="F76" s="2"/>
      <c r="G76" s="2"/>
      <c r="H76" s="4"/>
    </row>
    <row r="77" spans="1:25" ht="12.75" hidden="1" customHeight="1" x14ac:dyDescent="0.2">
      <c r="A77" s="41" t="s">
        <v>142</v>
      </c>
      <c r="B77" s="2"/>
      <c r="C77" s="125"/>
      <c r="D77" s="125"/>
      <c r="E77" s="125"/>
      <c r="F77" s="125"/>
      <c r="G77" s="125"/>
      <c r="H77" s="4"/>
    </row>
    <row r="78" spans="1:25" ht="12.75" hidden="1" customHeight="1" x14ac:dyDescent="0.2">
      <c r="A78" s="123" t="s">
        <v>156</v>
      </c>
      <c r="B78" s="123"/>
      <c r="C78" s="123"/>
      <c r="D78" s="123"/>
      <c r="E78" s="123"/>
      <c r="F78" s="123"/>
      <c r="G78" s="123"/>
      <c r="H78" s="41"/>
    </row>
    <row r="79" spans="1:25" ht="12.75" hidden="1" customHeight="1" x14ac:dyDescent="0.2">
      <c r="A79" s="87" t="s">
        <v>147</v>
      </c>
      <c r="B79" s="88"/>
      <c r="C79" s="88"/>
      <c r="D79" s="81">
        <v>993371</v>
      </c>
      <c r="E79"/>
      <c r="F79" s="88"/>
      <c r="G79" s="88"/>
      <c r="H79" s="81">
        <v>993371</v>
      </c>
    </row>
    <row r="80" spans="1:25" ht="12.75" hidden="1" customHeight="1" x14ac:dyDescent="0.2">
      <c r="A80" s="89" t="s">
        <v>148</v>
      </c>
      <c r="B80" s="2"/>
      <c r="C80" s="2"/>
      <c r="D80" s="82">
        <v>248343</v>
      </c>
      <c r="E80"/>
      <c r="F80" s="2"/>
      <c r="G80" s="2"/>
      <c r="H80" s="82">
        <v>248343</v>
      </c>
    </row>
    <row r="81" spans="1:8" ht="13.5" hidden="1" customHeight="1" thickBot="1" x14ac:dyDescent="0.25">
      <c r="A81" s="83" t="s">
        <v>146</v>
      </c>
      <c r="B81" s="84"/>
      <c r="C81" s="85"/>
      <c r="D81" s="86">
        <v>1241714</v>
      </c>
      <c r="E81"/>
      <c r="F81" s="84"/>
      <c r="G81" s="85"/>
      <c r="H81" s="86">
        <v>1241714</v>
      </c>
    </row>
    <row r="82" spans="1:8" ht="12.75" hidden="1" customHeight="1" x14ac:dyDescent="0.2">
      <c r="A82" s="42"/>
      <c r="B82"/>
      <c r="C82"/>
      <c r="D82"/>
      <c r="E82"/>
      <c r="F82"/>
      <c r="G82"/>
      <c r="H82"/>
    </row>
    <row r="83" spans="1:8" ht="13.15" hidden="1" customHeight="1" x14ac:dyDescent="0.2">
      <c r="A83" s="42" t="s">
        <v>163</v>
      </c>
      <c r="B83"/>
      <c r="C83"/>
      <c r="D83"/>
      <c r="E83"/>
      <c r="F83"/>
      <c r="G83"/>
      <c r="H83"/>
    </row>
    <row r="84" spans="1:8" ht="12.75" hidden="1" customHeight="1" x14ac:dyDescent="0.2"/>
  </sheetData>
  <mergeCells count="6">
    <mergeCell ref="A78:G78"/>
    <mergeCell ref="N58:O58"/>
    <mergeCell ref="C77:G77"/>
    <mergeCell ref="B4:D4"/>
    <mergeCell ref="F4:H4"/>
    <mergeCell ref="L58:M58"/>
  </mergeCells>
  <printOptions gridLines="1"/>
  <pageMargins left="0.5" right="0.5" top="0.5" bottom="0.5" header="0.5" footer="0.25"/>
  <pageSetup scale="75" orientation="portrait" r:id="rId1"/>
  <headerFooter alignWithMargins="0">
    <oddFooter>&amp;L&amp;8Printed &amp;D &amp;T&amp;R&amp;"Arial,Bold"PY 22 Allocations
Funding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0"/>
  <sheetViews>
    <sheetView zoomScaleNormal="100" workbookViewId="0">
      <selection activeCell="D26" sqref="D26"/>
    </sheetView>
  </sheetViews>
  <sheetFormatPr defaultRowHeight="12.75" x14ac:dyDescent="0.2"/>
  <cols>
    <col min="1" max="1" width="24.28515625" customWidth="1"/>
    <col min="2" max="2" width="9.140625" customWidth="1"/>
    <col min="3" max="5" width="11.28515625" customWidth="1"/>
    <col min="6" max="6" width="5.5703125" customWidth="1"/>
    <col min="7" max="7" width="9.140625" customWidth="1"/>
    <col min="8" max="10" width="11.28515625" customWidth="1"/>
    <col min="11" max="11" width="9.7109375" customWidth="1"/>
    <col min="12" max="12" width="10" customWidth="1"/>
    <col min="13" max="13" width="9.7109375" customWidth="1"/>
  </cols>
  <sheetData>
    <row r="1" spans="1:15" x14ac:dyDescent="0.2">
      <c r="F1" s="131"/>
      <c r="G1" s="131"/>
      <c r="H1" s="131"/>
    </row>
    <row r="2" spans="1:15" x14ac:dyDescent="0.2">
      <c r="A2" s="80" t="s">
        <v>193</v>
      </c>
    </row>
    <row r="3" spans="1:15" ht="13.15" customHeight="1" x14ac:dyDescent="0.2">
      <c r="A3" s="2" t="s">
        <v>203</v>
      </c>
      <c r="B3" s="128" t="s">
        <v>176</v>
      </c>
      <c r="C3" s="128"/>
      <c r="D3" s="128"/>
      <c r="E3" s="128"/>
      <c r="F3" s="20"/>
      <c r="G3" s="128" t="s">
        <v>157</v>
      </c>
      <c r="H3" s="128"/>
      <c r="I3" s="128"/>
      <c r="J3" s="128"/>
      <c r="K3" s="27"/>
      <c r="L3" s="27"/>
      <c r="M3" s="27"/>
    </row>
    <row r="4" spans="1:15" ht="13.15" customHeight="1" x14ac:dyDescent="0.2">
      <c r="A4" s="5"/>
      <c r="B4" s="27"/>
      <c r="C4" s="27"/>
      <c r="D4" s="27"/>
      <c r="E4" s="27" t="s">
        <v>24</v>
      </c>
      <c r="F4" s="20"/>
      <c r="G4" s="27"/>
      <c r="H4" s="27"/>
      <c r="I4" s="27"/>
      <c r="J4" s="27" t="s">
        <v>24</v>
      </c>
      <c r="K4" s="27"/>
      <c r="L4" s="27"/>
      <c r="M4" s="27"/>
    </row>
    <row r="5" spans="1:15" ht="13.15" customHeight="1" x14ac:dyDescent="0.2">
      <c r="A5" s="2"/>
      <c r="B5" s="28" t="s">
        <v>25</v>
      </c>
      <c r="C5" s="29" t="s">
        <v>26</v>
      </c>
      <c r="D5" s="29" t="s">
        <v>182</v>
      </c>
      <c r="E5" s="29" t="s">
        <v>27</v>
      </c>
      <c r="F5" s="20"/>
      <c r="G5" s="28" t="s">
        <v>25</v>
      </c>
      <c r="H5" s="29" t="s">
        <v>26</v>
      </c>
      <c r="I5" s="29" t="s">
        <v>138</v>
      </c>
      <c r="J5" s="29" t="s">
        <v>27</v>
      </c>
      <c r="K5" s="27"/>
      <c r="L5" s="27"/>
      <c r="M5" s="27"/>
    </row>
    <row r="6" spans="1:15" s="2" customFormat="1" ht="13.15" customHeight="1" x14ac:dyDescent="0.2">
      <c r="A6" s="2" t="s">
        <v>28</v>
      </c>
      <c r="B6" s="4">
        <f t="shared" ref="B6:B11" si="0">SUM(C6:E6)</f>
        <v>269180</v>
      </c>
      <c r="C6" s="4">
        <f>SUM(C7:C11)</f>
        <v>210480</v>
      </c>
      <c r="D6" s="4">
        <f>SUM(D7:D11)</f>
        <v>56500</v>
      </c>
      <c r="E6" s="4">
        <f>SUM(E7:E11)</f>
        <v>2200</v>
      </c>
      <c r="F6" s="19"/>
      <c r="G6" s="4">
        <f>SUM(H6:J6)</f>
        <v>182598</v>
      </c>
      <c r="H6" s="4">
        <f>SUM(H7:H9)</f>
        <v>180398</v>
      </c>
      <c r="I6" s="4">
        <f t="shared" ref="I6:J6" si="1">SUM(I7:I9)</f>
        <v>0</v>
      </c>
      <c r="J6" s="4">
        <f t="shared" si="1"/>
        <v>2200</v>
      </c>
      <c r="K6" s="4"/>
      <c r="L6" s="4"/>
      <c r="M6" s="4"/>
    </row>
    <row r="7" spans="1:15" ht="13.15" customHeight="1" x14ac:dyDescent="0.2">
      <c r="A7" t="s">
        <v>29</v>
      </c>
      <c r="B7" s="4">
        <f t="shared" si="0"/>
        <v>85000</v>
      </c>
      <c r="C7" s="3">
        <f>85000-550</f>
        <v>84450</v>
      </c>
      <c r="D7" s="3">
        <v>0</v>
      </c>
      <c r="E7" s="3">
        <v>550</v>
      </c>
      <c r="F7" s="20"/>
      <c r="G7" s="4">
        <f>SUM(H7:J7)</f>
        <v>85176</v>
      </c>
      <c r="H7" s="3">
        <f>85176-J7</f>
        <v>84656</v>
      </c>
      <c r="I7" s="3">
        <v>0</v>
      </c>
      <c r="J7" s="3">
        <f>390/0.75</f>
        <v>520</v>
      </c>
      <c r="K7" s="3"/>
      <c r="L7" s="3"/>
      <c r="M7" s="3"/>
    </row>
    <row r="8" spans="1:15" ht="13.15" customHeight="1" x14ac:dyDescent="0.2">
      <c r="A8" t="s">
        <v>179</v>
      </c>
      <c r="B8" s="4">
        <f t="shared" si="0"/>
        <v>38969</v>
      </c>
      <c r="C8" s="3">
        <f>38969-1100</f>
        <v>37869</v>
      </c>
      <c r="D8" s="3">
        <v>0</v>
      </c>
      <c r="E8" s="3">
        <v>1100</v>
      </c>
      <c r="F8" s="20"/>
      <c r="G8" s="4">
        <f>SUM(H8:J8)</f>
        <v>48711</v>
      </c>
      <c r="H8" s="3">
        <f>48711-J8</f>
        <v>47543</v>
      </c>
      <c r="I8" s="3">
        <v>0</v>
      </c>
      <c r="J8" s="3">
        <f>876/0.75</f>
        <v>1168</v>
      </c>
      <c r="K8" s="3"/>
      <c r="L8" s="3"/>
      <c r="M8" s="3"/>
      <c r="N8" s="3"/>
    </row>
    <row r="9" spans="1:15" ht="13.15" customHeight="1" x14ac:dyDescent="0.2">
      <c r="A9" t="s">
        <v>30</v>
      </c>
      <c r="B9" s="4">
        <f t="shared" si="0"/>
        <v>48711</v>
      </c>
      <c r="C9" s="3">
        <f>48711-550</f>
        <v>48161</v>
      </c>
      <c r="D9" s="3">
        <v>0</v>
      </c>
      <c r="E9" s="3">
        <v>550</v>
      </c>
      <c r="F9" s="20"/>
      <c r="G9" s="4">
        <f>SUM(H9:J9)</f>
        <v>48711</v>
      </c>
      <c r="H9" s="3">
        <f>48711-J9</f>
        <v>48199</v>
      </c>
      <c r="I9" s="3">
        <v>0</v>
      </c>
      <c r="J9" s="3">
        <f>384/0.75</f>
        <v>512</v>
      </c>
      <c r="K9" s="3"/>
      <c r="L9" s="3"/>
      <c r="M9" s="3"/>
      <c r="N9" s="3"/>
    </row>
    <row r="10" spans="1:15" ht="13.15" customHeight="1" x14ac:dyDescent="0.2">
      <c r="A10" t="s">
        <v>180</v>
      </c>
      <c r="B10" s="4">
        <f t="shared" si="0"/>
        <v>40000</v>
      </c>
      <c r="C10" s="3">
        <v>40000</v>
      </c>
      <c r="D10" s="3"/>
      <c r="E10" s="3">
        <v>0</v>
      </c>
      <c r="F10" s="20"/>
      <c r="G10" s="4"/>
      <c r="H10" s="3"/>
      <c r="I10" s="3"/>
      <c r="J10" s="3"/>
      <c r="K10" s="3"/>
      <c r="L10" s="3"/>
      <c r="M10" s="3"/>
      <c r="N10" s="3"/>
    </row>
    <row r="11" spans="1:15" ht="13.15" customHeight="1" x14ac:dyDescent="0.2">
      <c r="A11" t="s">
        <v>181</v>
      </c>
      <c r="B11" s="4">
        <f t="shared" si="0"/>
        <v>56500</v>
      </c>
      <c r="C11" s="3"/>
      <c r="D11" s="3">
        <v>56500</v>
      </c>
      <c r="E11" s="3">
        <v>0</v>
      </c>
      <c r="F11" s="20"/>
      <c r="G11" s="4"/>
      <c r="H11" s="3"/>
      <c r="I11" s="3"/>
      <c r="J11" s="3"/>
      <c r="K11" s="3"/>
      <c r="L11" s="3"/>
      <c r="M11" s="3"/>
      <c r="N11" s="3"/>
    </row>
    <row r="12" spans="1:15" ht="13.15" customHeight="1" x14ac:dyDescent="0.2">
      <c r="B12" s="3"/>
      <c r="C12" s="3"/>
      <c r="D12" s="3"/>
      <c r="E12" s="3"/>
      <c r="F12" s="20"/>
      <c r="G12" s="3"/>
      <c r="H12" s="3"/>
      <c r="I12" s="3"/>
      <c r="J12" s="3"/>
      <c r="K12" s="3"/>
      <c r="L12" s="3"/>
      <c r="M12" s="3"/>
    </row>
    <row r="13" spans="1:15" s="2" customFormat="1" ht="13.15" customHeight="1" x14ac:dyDescent="0.2">
      <c r="A13" s="2" t="s">
        <v>31</v>
      </c>
      <c r="B13" s="4">
        <f>SUM(C13:E13)</f>
        <v>67917</v>
      </c>
      <c r="C13" s="4">
        <f>67211-14340+306</f>
        <v>53177</v>
      </c>
      <c r="D13" s="4">
        <v>14340</v>
      </c>
      <c r="E13" s="4">
        <f>100+100+200</f>
        <v>400</v>
      </c>
      <c r="F13" s="19"/>
      <c r="G13" s="4">
        <f>SUM(H13:J13)</f>
        <v>40033.49</v>
      </c>
      <c r="H13" s="4">
        <f>40033.49-J13</f>
        <v>39633.49</v>
      </c>
      <c r="I13" s="4">
        <v>0</v>
      </c>
      <c r="J13" s="4">
        <f>300/0.75</f>
        <v>400</v>
      </c>
      <c r="K13" s="4"/>
      <c r="L13" s="4"/>
      <c r="M13" s="4"/>
      <c r="N13" s="4"/>
    </row>
    <row r="14" spans="1:15" ht="13.15" customHeight="1" x14ac:dyDescent="0.2">
      <c r="B14" s="3"/>
      <c r="C14" s="30">
        <f>C13/C6</f>
        <v>0.25264633219308247</v>
      </c>
      <c r="D14" s="30"/>
      <c r="E14" s="3"/>
      <c r="F14" s="20"/>
      <c r="G14" s="3"/>
      <c r="H14" s="30">
        <f>H13/H6</f>
        <v>0.21970027383895607</v>
      </c>
      <c r="I14" s="30"/>
      <c r="J14" s="3"/>
      <c r="K14" s="3"/>
      <c r="L14" s="3"/>
      <c r="M14" s="3"/>
      <c r="O14" s="3"/>
    </row>
    <row r="15" spans="1:15" s="2" customFormat="1" ht="13.15" customHeight="1" x14ac:dyDescent="0.2">
      <c r="A15" s="2" t="s">
        <v>32</v>
      </c>
      <c r="B15" s="4">
        <f>SUM(C15:F15)</f>
        <v>22000</v>
      </c>
      <c r="C15" s="4">
        <f>SUM(C16:C20)</f>
        <v>22000</v>
      </c>
      <c r="D15" s="4"/>
      <c r="E15" s="4"/>
      <c r="F15" s="19"/>
      <c r="G15" s="4">
        <f>SUM(H15:K15)</f>
        <v>22000</v>
      </c>
      <c r="H15" s="4">
        <f>SUM(H16:H20)</f>
        <v>22000</v>
      </c>
      <c r="I15" s="4"/>
      <c r="J15" s="4"/>
      <c r="K15" s="4"/>
      <c r="L15" s="4"/>
      <c r="M15" s="4"/>
    </row>
    <row r="16" spans="1:15" ht="13.15" customHeight="1" x14ac:dyDescent="0.2">
      <c r="A16" t="s">
        <v>33</v>
      </c>
      <c r="B16" s="3">
        <f>C16</f>
        <v>3500</v>
      </c>
      <c r="C16" s="3">
        <v>3500</v>
      </c>
      <c r="D16" s="3"/>
      <c r="F16" s="20"/>
      <c r="G16" s="3">
        <f>H16</f>
        <v>3500</v>
      </c>
      <c r="H16" s="3">
        <v>3500</v>
      </c>
      <c r="I16" s="3"/>
      <c r="K16" s="3"/>
      <c r="L16" s="3"/>
      <c r="M16" s="3"/>
    </row>
    <row r="17" spans="1:13" ht="13.15" customHeight="1" x14ac:dyDescent="0.2">
      <c r="A17" t="s">
        <v>34</v>
      </c>
      <c r="B17" s="3">
        <f>C17</f>
        <v>3000</v>
      </c>
      <c r="C17" s="3">
        <v>3000</v>
      </c>
      <c r="D17" s="3"/>
      <c r="F17" s="20"/>
      <c r="G17" s="3">
        <f>H17</f>
        <v>3000</v>
      </c>
      <c r="H17" s="3">
        <v>3000</v>
      </c>
      <c r="I17" s="3"/>
      <c r="K17" s="3"/>
      <c r="L17" s="3"/>
      <c r="M17" s="3"/>
    </row>
    <row r="18" spans="1:13" ht="13.15" customHeight="1" x14ac:dyDescent="0.2">
      <c r="A18" t="s">
        <v>35</v>
      </c>
      <c r="B18" s="3">
        <f>C18</f>
        <v>4400</v>
      </c>
      <c r="C18" s="3">
        <v>4400</v>
      </c>
      <c r="D18" s="3"/>
      <c r="F18" s="20"/>
      <c r="G18" s="3">
        <f>H18</f>
        <v>4400</v>
      </c>
      <c r="H18" s="3">
        <v>4400</v>
      </c>
      <c r="I18" s="3"/>
      <c r="K18" s="3"/>
      <c r="L18" s="3"/>
      <c r="M18" s="3"/>
    </row>
    <row r="19" spans="1:13" ht="13.15" customHeight="1" x14ac:dyDescent="0.2">
      <c r="A19" t="s">
        <v>36</v>
      </c>
      <c r="B19" s="3">
        <f>C19</f>
        <v>11100</v>
      </c>
      <c r="C19" s="3">
        <v>11100</v>
      </c>
      <c r="D19" s="3"/>
      <c r="F19" s="20"/>
      <c r="G19" s="3">
        <f>H19</f>
        <v>11100</v>
      </c>
      <c r="H19" s="3">
        <v>11100</v>
      </c>
      <c r="I19" s="3"/>
      <c r="K19" s="3"/>
      <c r="L19" s="3"/>
      <c r="M19" s="3"/>
    </row>
    <row r="20" spans="1:13" ht="13.15" hidden="1" customHeight="1" x14ac:dyDescent="0.2">
      <c r="A20" t="s">
        <v>152</v>
      </c>
      <c r="B20" s="3">
        <f>C20</f>
        <v>0</v>
      </c>
      <c r="C20" s="3">
        <v>0</v>
      </c>
      <c r="D20" s="3"/>
      <c r="F20" s="20"/>
      <c r="G20" s="3">
        <f>H20</f>
        <v>0</v>
      </c>
      <c r="H20" s="3">
        <v>0</v>
      </c>
      <c r="I20" s="3"/>
      <c r="K20" s="3"/>
      <c r="L20" s="3"/>
      <c r="M20" s="3"/>
    </row>
    <row r="21" spans="1:13" ht="13.15" customHeight="1" x14ac:dyDescent="0.2">
      <c r="F21" s="20"/>
      <c r="K21" s="3"/>
      <c r="L21" s="3"/>
      <c r="M21" s="3"/>
    </row>
    <row r="22" spans="1:13" ht="13.15" customHeight="1" x14ac:dyDescent="0.2">
      <c r="A22" s="2" t="s">
        <v>37</v>
      </c>
      <c r="B22" s="4">
        <f t="shared" ref="B22:B33" si="2">SUM(C22:F22)</f>
        <v>21175</v>
      </c>
      <c r="C22" s="4">
        <f>SUM(C23:C31)</f>
        <v>21175</v>
      </c>
      <c r="D22" s="4"/>
      <c r="E22" s="2"/>
      <c r="F22" s="19"/>
      <c r="G22" s="4">
        <f t="shared" ref="G22:G31" si="3">SUM(H22:K22)</f>
        <v>15275</v>
      </c>
      <c r="H22" s="4">
        <f>SUM(H23:H31)</f>
        <v>15275</v>
      </c>
      <c r="I22" s="4"/>
      <c r="J22" s="2"/>
      <c r="K22" s="4"/>
      <c r="L22" s="4"/>
      <c r="M22" s="4"/>
    </row>
    <row r="23" spans="1:13" s="2" customFormat="1" ht="13.15" customHeight="1" x14ac:dyDescent="0.2">
      <c r="A23" s="42" t="s">
        <v>150</v>
      </c>
      <c r="B23" s="3">
        <f t="shared" si="2"/>
        <v>1000</v>
      </c>
      <c r="C23" s="21">
        <v>1000</v>
      </c>
      <c r="D23" s="21"/>
      <c r="E23" s="9"/>
      <c r="F23" s="31"/>
      <c r="G23" s="3">
        <f t="shared" si="3"/>
        <v>1000</v>
      </c>
      <c r="H23" s="21">
        <v>1000</v>
      </c>
      <c r="I23" s="21"/>
      <c r="J23" s="9"/>
      <c r="K23" s="21"/>
      <c r="L23" s="21"/>
      <c r="M23" s="21"/>
    </row>
    <row r="24" spans="1:13" s="2" customFormat="1" ht="13.15" customHeight="1" x14ac:dyDescent="0.2">
      <c r="A24" s="42" t="s">
        <v>187</v>
      </c>
      <c r="B24" s="3"/>
      <c r="C24" s="21"/>
      <c r="D24" s="21"/>
      <c r="E24" s="9"/>
      <c r="F24" s="31"/>
      <c r="G24" s="3">
        <v>100</v>
      </c>
      <c r="H24" s="21">
        <v>100</v>
      </c>
      <c r="I24" s="21"/>
      <c r="J24" s="9"/>
      <c r="K24" s="21"/>
      <c r="L24" s="21"/>
      <c r="M24" s="21"/>
    </row>
    <row r="25" spans="1:13" s="2" customFormat="1" ht="13.15" customHeight="1" x14ac:dyDescent="0.2">
      <c r="A25" s="9" t="s">
        <v>38</v>
      </c>
      <c r="B25" s="3">
        <f t="shared" si="2"/>
        <v>1000</v>
      </c>
      <c r="C25" s="21">
        <v>1000</v>
      </c>
      <c r="D25" s="21"/>
      <c r="E25" s="9"/>
      <c r="F25" s="31"/>
      <c r="G25" s="3">
        <f t="shared" si="3"/>
        <v>1000</v>
      </c>
      <c r="H25" s="21">
        <v>1000</v>
      </c>
      <c r="I25" s="21"/>
      <c r="J25" s="9"/>
      <c r="K25" s="21"/>
      <c r="L25" s="21"/>
      <c r="M25" s="21"/>
    </row>
    <row r="26" spans="1:13" s="2" customFormat="1" ht="13.15" customHeight="1" x14ac:dyDescent="0.2">
      <c r="A26" s="9" t="s">
        <v>39</v>
      </c>
      <c r="B26" s="3">
        <f t="shared" si="2"/>
        <v>6500</v>
      </c>
      <c r="C26" s="21">
        <f>4500+2000</f>
        <v>6500</v>
      </c>
      <c r="D26" s="21"/>
      <c r="E26" s="9"/>
      <c r="F26" s="31"/>
      <c r="G26" s="3">
        <f t="shared" si="3"/>
        <v>4500</v>
      </c>
      <c r="H26" s="21">
        <v>4500</v>
      </c>
      <c r="I26" s="21"/>
      <c r="J26" s="9"/>
      <c r="K26" s="21"/>
      <c r="L26" s="21"/>
      <c r="M26" s="21"/>
    </row>
    <row r="27" spans="1:13" s="2" customFormat="1" ht="13.15" customHeight="1" x14ac:dyDescent="0.2">
      <c r="A27" s="9" t="s">
        <v>40</v>
      </c>
      <c r="B27" s="3">
        <f t="shared" si="2"/>
        <v>7000</v>
      </c>
      <c r="C27" s="21">
        <v>7000</v>
      </c>
      <c r="D27" s="21"/>
      <c r="E27" s="9"/>
      <c r="F27" s="31"/>
      <c r="G27" s="3">
        <f t="shared" si="3"/>
        <v>3000</v>
      </c>
      <c r="H27" s="21">
        <v>3000</v>
      </c>
      <c r="I27" s="21"/>
      <c r="J27" s="9"/>
      <c r="K27" s="21"/>
      <c r="L27" s="21"/>
      <c r="M27" s="21"/>
    </row>
    <row r="28" spans="1:13" s="2" customFormat="1" ht="13.15" customHeight="1" x14ac:dyDescent="0.2">
      <c r="A28" s="9" t="s">
        <v>41</v>
      </c>
      <c r="B28" s="3">
        <f t="shared" si="2"/>
        <v>175</v>
      </c>
      <c r="C28" s="21">
        <v>175</v>
      </c>
      <c r="D28" s="21"/>
      <c r="E28" s="9"/>
      <c r="F28" s="31"/>
      <c r="G28" s="3">
        <f t="shared" si="3"/>
        <v>175</v>
      </c>
      <c r="H28" s="21">
        <v>175</v>
      </c>
      <c r="I28" s="21"/>
      <c r="J28" s="9"/>
      <c r="K28" s="21"/>
      <c r="L28" s="21"/>
      <c r="M28" s="21"/>
    </row>
    <row r="29" spans="1:13" s="2" customFormat="1" ht="13.15" customHeight="1" x14ac:dyDescent="0.2">
      <c r="A29" s="9" t="s">
        <v>42</v>
      </c>
      <c r="B29" s="3">
        <f t="shared" si="2"/>
        <v>2000</v>
      </c>
      <c r="C29" s="21">
        <v>2000</v>
      </c>
      <c r="D29" s="21"/>
      <c r="E29" s="9"/>
      <c r="F29" s="31"/>
      <c r="G29" s="3">
        <f t="shared" si="3"/>
        <v>2000</v>
      </c>
      <c r="H29" s="21">
        <v>2000</v>
      </c>
      <c r="I29" s="21"/>
      <c r="J29" s="9"/>
      <c r="K29" s="21"/>
      <c r="L29" s="21"/>
      <c r="M29" s="21"/>
    </row>
    <row r="30" spans="1:13" s="2" customFormat="1" ht="13.15" customHeight="1" x14ac:dyDescent="0.2">
      <c r="A30" s="9" t="s">
        <v>43</v>
      </c>
      <c r="B30" s="3">
        <f t="shared" si="2"/>
        <v>2000</v>
      </c>
      <c r="C30" s="21">
        <v>2000</v>
      </c>
      <c r="D30" s="21"/>
      <c r="E30" s="9"/>
      <c r="F30" s="31"/>
      <c r="G30" s="3">
        <f t="shared" si="3"/>
        <v>2000</v>
      </c>
      <c r="H30" s="21">
        <v>2000</v>
      </c>
      <c r="I30" s="21"/>
      <c r="J30" s="9"/>
      <c r="K30" s="21"/>
      <c r="L30" s="21"/>
      <c r="M30" s="21"/>
    </row>
    <row r="31" spans="1:13" s="2" customFormat="1" ht="13.15" customHeight="1" x14ac:dyDescent="0.2">
      <c r="A31" s="9" t="s">
        <v>44</v>
      </c>
      <c r="B31" s="3">
        <f t="shared" si="2"/>
        <v>1500</v>
      </c>
      <c r="C31" s="21">
        <v>1500</v>
      </c>
      <c r="D31" s="21"/>
      <c r="E31" s="9"/>
      <c r="F31" s="31"/>
      <c r="G31" s="3">
        <f t="shared" si="3"/>
        <v>1500</v>
      </c>
      <c r="H31" s="21">
        <v>1500</v>
      </c>
      <c r="I31" s="21"/>
      <c r="J31" s="9"/>
      <c r="K31" s="21"/>
      <c r="L31" s="21"/>
      <c r="M31" s="21"/>
    </row>
    <row r="32" spans="1:13" s="2" customFormat="1" ht="13.15" customHeight="1" x14ac:dyDescent="0.2">
      <c r="A32" s="9"/>
      <c r="B32" s="3"/>
      <c r="C32" s="21"/>
      <c r="D32" s="21"/>
      <c r="E32" s="9"/>
      <c r="F32" s="31"/>
      <c r="G32" s="3"/>
      <c r="H32" s="21"/>
      <c r="I32" s="21"/>
      <c r="J32" s="9"/>
      <c r="K32" s="21"/>
      <c r="L32" s="21"/>
      <c r="M32" s="21"/>
    </row>
    <row r="33" spans="1:13" s="2" customFormat="1" ht="13.15" customHeight="1" x14ac:dyDescent="0.2">
      <c r="A33" s="42" t="s">
        <v>189</v>
      </c>
      <c r="B33" s="4">
        <f t="shared" si="2"/>
        <v>29160</v>
      </c>
      <c r="C33" s="21"/>
      <c r="D33" s="4">
        <f>100000-56500-14340</f>
        <v>29160</v>
      </c>
      <c r="E33" s="9"/>
      <c r="F33" s="31"/>
      <c r="G33" s="3"/>
      <c r="H33" s="21"/>
      <c r="I33" s="21"/>
      <c r="J33" s="9"/>
      <c r="K33" s="21"/>
      <c r="L33" s="21"/>
      <c r="M33" s="21"/>
    </row>
    <row r="34" spans="1:13" s="2" customFormat="1" ht="13.15" customHeight="1" x14ac:dyDescent="0.2">
      <c r="F34" s="19"/>
      <c r="K34" s="37"/>
      <c r="L34" s="37"/>
      <c r="M34" s="4"/>
    </row>
    <row r="35" spans="1:13" s="2" customFormat="1" ht="13.15" customHeight="1" x14ac:dyDescent="0.2">
      <c r="A35" s="32" t="s">
        <v>45</v>
      </c>
      <c r="B35" s="37">
        <f>B6+B13+B15+B22+B33</f>
        <v>409432</v>
      </c>
      <c r="C35" s="37">
        <f>C6+C13+C15+C22</f>
        <v>306832</v>
      </c>
      <c r="D35" s="37">
        <f>D6+D13+D15+D22+D33</f>
        <v>100000</v>
      </c>
      <c r="E35" s="37">
        <f>E6+E13</f>
        <v>2600</v>
      </c>
      <c r="F35" s="17"/>
      <c r="G35" s="37">
        <f>G6+G13+G15+G22</f>
        <v>259906.49</v>
      </c>
      <c r="H35" s="37">
        <f>H6+H13+H15+H22</f>
        <v>257306.49</v>
      </c>
      <c r="I35" s="37">
        <f>I6+I13+I15+I22</f>
        <v>0</v>
      </c>
      <c r="J35" s="37">
        <f>J6+J13</f>
        <v>2600</v>
      </c>
      <c r="K35" s="37"/>
      <c r="L35" s="37"/>
      <c r="M35" s="37"/>
    </row>
    <row r="36" spans="1:13" s="2" customFormat="1" ht="13.15" customHeight="1" x14ac:dyDescent="0.2">
      <c r="A36" s="32"/>
      <c r="B36" s="32"/>
      <c r="C36" s="32"/>
      <c r="D36" s="32"/>
      <c r="E36" s="32"/>
      <c r="F36" s="17"/>
      <c r="G36" s="32"/>
      <c r="H36" s="32"/>
      <c r="I36" s="32"/>
      <c r="J36" s="32"/>
      <c r="K36" s="37"/>
      <c r="L36" s="37"/>
      <c r="M36" s="4"/>
    </row>
    <row r="37" spans="1:13" s="2" customFormat="1" ht="13.15" customHeight="1" x14ac:dyDescent="0.2">
      <c r="F37" s="19"/>
      <c r="K37" s="37"/>
      <c r="L37" s="37"/>
      <c r="M37" s="4"/>
    </row>
    <row r="38" spans="1:13" s="2" customFormat="1" ht="13.15" customHeight="1" x14ac:dyDescent="0.2">
      <c r="A38" s="2" t="s">
        <v>46</v>
      </c>
      <c r="B38" s="4">
        <f t="shared" ref="B38:B48" si="4">SUM(C38:F38)</f>
        <v>425320</v>
      </c>
      <c r="C38" s="4">
        <f>SUM(C39:C48)</f>
        <v>400920</v>
      </c>
      <c r="D38" s="4"/>
      <c r="E38" s="4">
        <f>SUM(E39:E48)</f>
        <v>24400</v>
      </c>
      <c r="F38" s="19"/>
      <c r="G38" s="4">
        <f t="shared" ref="G38:G48" si="5">SUM(H38:K38)</f>
        <v>345993</v>
      </c>
      <c r="H38" s="4">
        <f>SUM(H39:H48)</f>
        <v>322272.33333333331</v>
      </c>
      <c r="I38" s="4"/>
      <c r="J38" s="4">
        <f>SUM(J39:J48)</f>
        <v>23720.666666666668</v>
      </c>
      <c r="K38" s="4"/>
      <c r="L38" s="4"/>
      <c r="M38" s="4"/>
    </row>
    <row r="39" spans="1:13" s="2" customFormat="1" ht="13.15" customHeight="1" x14ac:dyDescent="0.2">
      <c r="A39" s="9" t="s">
        <v>47</v>
      </c>
      <c r="B39" s="3">
        <f t="shared" si="4"/>
        <v>160978</v>
      </c>
      <c r="C39" s="33">
        <f>160978-E39</f>
        <v>150928</v>
      </c>
      <c r="D39" s="33"/>
      <c r="E39" s="21">
        <v>10050</v>
      </c>
      <c r="F39" s="31"/>
      <c r="G39" s="3">
        <f t="shared" si="5"/>
        <v>157232</v>
      </c>
      <c r="H39" s="33">
        <f>157232-J39</f>
        <v>147052.66666666666</v>
      </c>
      <c r="I39" s="33"/>
      <c r="J39" s="21">
        <f>7990/0.75-474</f>
        <v>10179.333333333334</v>
      </c>
      <c r="K39" s="21"/>
      <c r="L39" s="117"/>
      <c r="M39" s="21"/>
    </row>
    <row r="40" spans="1:13" s="2" customFormat="1" ht="13.15" customHeight="1" x14ac:dyDescent="0.2">
      <c r="A40" s="9" t="s">
        <v>48</v>
      </c>
      <c r="B40" s="3">
        <f t="shared" si="4"/>
        <v>19776</v>
      </c>
      <c r="C40" s="33">
        <v>18613</v>
      </c>
      <c r="D40" s="33"/>
      <c r="E40" s="21">
        <v>1163</v>
      </c>
      <c r="F40" s="31"/>
      <c r="G40" s="3">
        <f t="shared" si="5"/>
        <v>14783</v>
      </c>
      <c r="H40" s="33">
        <f>14783-J40</f>
        <v>13775</v>
      </c>
      <c r="I40" s="33"/>
      <c r="J40" s="21">
        <f>756/0.75</f>
        <v>1008</v>
      </c>
      <c r="K40" s="21"/>
      <c r="L40" s="21"/>
      <c r="M40" s="21"/>
    </row>
    <row r="41" spans="1:13" s="2" customFormat="1" ht="13.15" customHeight="1" x14ac:dyDescent="0.2">
      <c r="A41" s="9" t="s">
        <v>49</v>
      </c>
      <c r="B41" s="3">
        <f t="shared" si="4"/>
        <v>20886</v>
      </c>
      <c r="C41" s="33">
        <v>19657</v>
      </c>
      <c r="D41" s="33"/>
      <c r="E41" s="21">
        <v>1229</v>
      </c>
      <c r="F41" s="31"/>
      <c r="G41" s="3">
        <f t="shared" si="5"/>
        <v>19364</v>
      </c>
      <c r="H41" s="33">
        <f>19364-J41</f>
        <v>18004</v>
      </c>
      <c r="I41" s="33"/>
      <c r="J41" s="21">
        <f>1020/0.75</f>
        <v>1360</v>
      </c>
      <c r="K41" s="21"/>
      <c r="L41" s="21"/>
      <c r="M41" s="21"/>
    </row>
    <row r="42" spans="1:13" s="2" customFormat="1" ht="13.15" customHeight="1" x14ac:dyDescent="0.2">
      <c r="A42" s="9" t="s">
        <v>50</v>
      </c>
      <c r="B42" s="3">
        <f t="shared" si="4"/>
        <v>38829</v>
      </c>
      <c r="C42" s="33">
        <v>36545</v>
      </c>
      <c r="D42" s="33"/>
      <c r="E42" s="41">
        <v>2284</v>
      </c>
      <c r="F42" s="31"/>
      <c r="G42" s="3">
        <f t="shared" si="5"/>
        <v>34528</v>
      </c>
      <c r="H42" s="33">
        <f>34528-J42</f>
        <v>32396</v>
      </c>
      <c r="I42" s="33"/>
      <c r="J42" s="41">
        <f>1599/0.75</f>
        <v>2132</v>
      </c>
      <c r="K42" s="21"/>
      <c r="L42" s="21"/>
      <c r="M42" s="21"/>
    </row>
    <row r="43" spans="1:13" s="2" customFormat="1" ht="13.15" customHeight="1" x14ac:dyDescent="0.2">
      <c r="A43" s="42" t="s">
        <v>183</v>
      </c>
      <c r="B43" s="3">
        <f t="shared" si="4"/>
        <v>3902</v>
      </c>
      <c r="C43" s="33">
        <v>3402</v>
      </c>
      <c r="D43" s="33"/>
      <c r="E43" s="21">
        <v>500</v>
      </c>
      <c r="F43" s="31"/>
      <c r="G43" s="3">
        <f t="shared" si="5"/>
        <v>4114</v>
      </c>
      <c r="H43" s="33">
        <f>3614-J43+500</f>
        <v>3614</v>
      </c>
      <c r="I43" s="33"/>
      <c r="J43" s="21">
        <v>500</v>
      </c>
      <c r="K43" s="21"/>
      <c r="L43" s="21"/>
      <c r="M43" s="21"/>
    </row>
    <row r="44" spans="1:13" s="2" customFormat="1" ht="13.15" customHeight="1" x14ac:dyDescent="0.2">
      <c r="A44" s="9" t="s">
        <v>51</v>
      </c>
      <c r="B44" s="3">
        <f t="shared" si="4"/>
        <v>7352</v>
      </c>
      <c r="C44" s="33">
        <v>6920</v>
      </c>
      <c r="D44" s="33"/>
      <c r="E44" s="41">
        <v>432</v>
      </c>
      <c r="F44" s="31"/>
      <c r="G44" s="3">
        <f t="shared" si="5"/>
        <v>7161.333333333333</v>
      </c>
      <c r="H44" s="33">
        <v>6628</v>
      </c>
      <c r="I44" s="33"/>
      <c r="J44" s="41">
        <f>400/0.75</f>
        <v>533.33333333333337</v>
      </c>
      <c r="K44" s="21"/>
      <c r="L44" s="21"/>
      <c r="M44" s="21"/>
    </row>
    <row r="45" spans="1:13" s="2" customFormat="1" ht="13.15" customHeight="1" x14ac:dyDescent="0.2">
      <c r="A45" s="9" t="s">
        <v>52</v>
      </c>
      <c r="B45" s="3">
        <f t="shared" si="4"/>
        <v>8288</v>
      </c>
      <c r="C45" s="33">
        <v>7800</v>
      </c>
      <c r="D45" s="33"/>
      <c r="E45" s="41">
        <v>488</v>
      </c>
      <c r="F45" s="31"/>
      <c r="G45" s="3">
        <f t="shared" si="5"/>
        <v>7132</v>
      </c>
      <c r="H45" s="33">
        <f>7632-500-J45</f>
        <v>5905.333333333333</v>
      </c>
      <c r="I45" s="33"/>
      <c r="J45" s="41">
        <f>920/0.75</f>
        <v>1226.6666666666667</v>
      </c>
      <c r="K45" s="21"/>
      <c r="L45" s="21"/>
      <c r="M45" s="21"/>
    </row>
    <row r="46" spans="1:13" s="2" customFormat="1" ht="13.15" customHeight="1" x14ac:dyDescent="0.2">
      <c r="A46" s="42" t="s">
        <v>150</v>
      </c>
      <c r="B46" s="3">
        <f t="shared" si="4"/>
        <v>1968</v>
      </c>
      <c r="C46" s="33">
        <v>1852</v>
      </c>
      <c r="D46" s="33"/>
      <c r="E46" s="41">
        <v>116</v>
      </c>
      <c r="F46" s="31"/>
      <c r="G46" s="3">
        <f t="shared" si="5"/>
        <v>485</v>
      </c>
      <c r="H46" s="33">
        <f>485-J46</f>
        <v>311.66666666666663</v>
      </c>
      <c r="I46" s="33"/>
      <c r="J46" s="41">
        <f>130/0.75</f>
        <v>173.33333333333334</v>
      </c>
      <c r="K46" s="21"/>
      <c r="L46" s="21"/>
      <c r="M46" s="21"/>
    </row>
    <row r="47" spans="1:13" s="2" customFormat="1" ht="13.15" customHeight="1" x14ac:dyDescent="0.2">
      <c r="A47" s="9" t="s">
        <v>53</v>
      </c>
      <c r="B47" s="3">
        <f t="shared" si="4"/>
        <v>4873</v>
      </c>
      <c r="C47" s="33">
        <v>4586</v>
      </c>
      <c r="D47" s="33"/>
      <c r="E47" s="41">
        <v>287</v>
      </c>
      <c r="F47" s="31"/>
      <c r="G47" s="3">
        <f t="shared" si="5"/>
        <v>4586</v>
      </c>
      <c r="H47" s="33">
        <f>4586-J47</f>
        <v>4260.666666666667</v>
      </c>
      <c r="I47" s="33"/>
      <c r="J47" s="41">
        <f>244/0.75</f>
        <v>325.33333333333331</v>
      </c>
      <c r="K47" s="21"/>
      <c r="L47" s="21"/>
      <c r="M47" s="21"/>
    </row>
    <row r="48" spans="1:13" s="2" customFormat="1" ht="13.15" customHeight="1" x14ac:dyDescent="0.2">
      <c r="A48" s="9" t="s">
        <v>54</v>
      </c>
      <c r="B48" s="3">
        <f t="shared" si="4"/>
        <v>158468</v>
      </c>
      <c r="C48" s="33">
        <v>150617</v>
      </c>
      <c r="D48" s="33"/>
      <c r="E48" s="41">
        <f>8164-313</f>
        <v>7851</v>
      </c>
      <c r="F48" s="31"/>
      <c r="G48" s="3">
        <f t="shared" si="5"/>
        <v>96607.666666666672</v>
      </c>
      <c r="H48" s="33">
        <v>90325</v>
      </c>
      <c r="I48" s="33"/>
      <c r="J48" s="41">
        <f>4712/0.75</f>
        <v>6282.666666666667</v>
      </c>
      <c r="K48" s="21"/>
      <c r="L48" s="21"/>
      <c r="M48" s="21"/>
    </row>
    <row r="49" spans="1:13" ht="13.15" customHeight="1" x14ac:dyDescent="0.2">
      <c r="F49" s="20"/>
      <c r="K49" s="3"/>
      <c r="L49" s="3"/>
      <c r="M49" s="3"/>
    </row>
    <row r="50" spans="1:13" ht="13.15" customHeight="1" x14ac:dyDescent="0.2">
      <c r="B50" s="26"/>
      <c r="C50" s="34">
        <f>SUM(C35:C38)</f>
        <v>707752</v>
      </c>
      <c r="D50" s="34">
        <f>SUM(D35:D38)</f>
        <v>100000</v>
      </c>
      <c r="E50" s="34">
        <f>SUM(E35:E38)</f>
        <v>27000</v>
      </c>
      <c r="F50" s="20"/>
      <c r="G50" s="26"/>
      <c r="H50" s="34">
        <f>SUM(H35:H38)</f>
        <v>579578.82333333325</v>
      </c>
      <c r="I50" s="34">
        <f>SUM(I35:I38)</f>
        <v>0</v>
      </c>
      <c r="J50" s="34">
        <f>SUM(J35:J38)</f>
        <v>26320.666666666668</v>
      </c>
      <c r="K50" s="37"/>
      <c r="L50" s="37"/>
      <c r="M50" s="37"/>
    </row>
    <row r="51" spans="1:13" ht="13.15" customHeight="1" x14ac:dyDescent="0.2">
      <c r="A51" s="32" t="s">
        <v>55</v>
      </c>
      <c r="B51" s="4">
        <f>SUM(C50:E50)</f>
        <v>834752</v>
      </c>
      <c r="C51" s="129">
        <f>C50+E50+D50</f>
        <v>834752</v>
      </c>
      <c r="D51" s="129"/>
      <c r="E51" s="130"/>
      <c r="F51" s="17"/>
      <c r="G51" s="4">
        <f>SUM(H50:K50)</f>
        <v>605899.48999999987</v>
      </c>
      <c r="H51" s="129">
        <f>H50+J50+I50</f>
        <v>605899.48999999987</v>
      </c>
      <c r="I51" s="129"/>
      <c r="J51" s="130"/>
      <c r="K51" s="3"/>
      <c r="L51" s="3"/>
      <c r="M51" s="3"/>
    </row>
    <row r="52" spans="1:13" ht="13.15" customHeight="1" x14ac:dyDescent="0.2">
      <c r="K52" s="3"/>
      <c r="L52" s="3"/>
      <c r="M52" s="3"/>
    </row>
    <row r="53" spans="1:13" ht="13.15" customHeight="1" x14ac:dyDescent="0.2">
      <c r="A53" s="2" t="s">
        <v>158</v>
      </c>
      <c r="B53" s="2"/>
      <c r="C53" s="2"/>
      <c r="D53" s="2"/>
      <c r="E53" s="2"/>
      <c r="F53" s="2"/>
      <c r="G53" s="2"/>
      <c r="H53" s="2"/>
      <c r="I53" s="2"/>
      <c r="J53" s="2"/>
      <c r="K53" s="3"/>
      <c r="L53" s="3"/>
      <c r="M53" s="3"/>
    </row>
    <row r="54" spans="1:13" ht="13.15" customHeight="1" x14ac:dyDescent="0.2">
      <c r="A54" s="2" t="s">
        <v>56</v>
      </c>
      <c r="B54" s="2"/>
      <c r="C54" s="2"/>
      <c r="D54" s="2"/>
      <c r="E54" s="2"/>
      <c r="F54" s="2"/>
      <c r="G54" s="2"/>
      <c r="H54" s="2"/>
      <c r="I54" s="2"/>
      <c r="J54" s="2"/>
      <c r="K54" s="3"/>
      <c r="L54" s="3"/>
      <c r="M54" s="3"/>
    </row>
    <row r="55" spans="1:13" ht="13.1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3"/>
      <c r="L55" s="3"/>
      <c r="M55" s="3"/>
    </row>
    <row r="56" spans="1:13" ht="13.15" hidden="1" customHeight="1" x14ac:dyDescent="0.2">
      <c r="A56" s="2" t="s">
        <v>57</v>
      </c>
      <c r="B56" s="2"/>
      <c r="C56" s="2"/>
      <c r="D56" s="2"/>
      <c r="E56" s="2"/>
      <c r="F56" s="2"/>
      <c r="G56" s="2"/>
      <c r="H56" s="2"/>
      <c r="I56" s="2"/>
      <c r="J56" s="2"/>
      <c r="K56" s="3"/>
      <c r="L56" s="3"/>
      <c r="M56" s="3"/>
    </row>
    <row r="57" spans="1:13" ht="13.15" hidden="1" customHeight="1" x14ac:dyDescent="0.2">
      <c r="A57" s="35" t="s">
        <v>58</v>
      </c>
      <c r="B57" s="35"/>
      <c r="C57" s="35"/>
      <c r="D57" s="35"/>
      <c r="E57" s="35"/>
      <c r="F57" s="35"/>
      <c r="G57" s="35"/>
      <c r="H57" s="35"/>
      <c r="I57" s="35"/>
      <c r="J57" s="35"/>
      <c r="K57" s="3"/>
      <c r="L57" s="3"/>
      <c r="M57" s="3"/>
    </row>
    <row r="58" spans="1:13" ht="13.15" hidden="1" customHeight="1" x14ac:dyDescent="0.2">
      <c r="A58" s="35" t="s">
        <v>59</v>
      </c>
      <c r="B58" s="35"/>
      <c r="C58" s="35"/>
      <c r="D58" s="35"/>
      <c r="E58" s="35"/>
      <c r="F58" s="35"/>
      <c r="G58" s="35"/>
      <c r="H58" s="35"/>
      <c r="I58" s="35"/>
      <c r="J58" s="35"/>
      <c r="K58" s="3"/>
      <c r="L58" s="3"/>
      <c r="M58" s="3"/>
    </row>
    <row r="59" spans="1:13" ht="13.15" hidden="1" customHeight="1" x14ac:dyDescent="0.2">
      <c r="A59" s="42" t="s">
        <v>136</v>
      </c>
      <c r="B59" s="9"/>
      <c r="C59" s="9"/>
      <c r="D59" s="9"/>
      <c r="E59" s="9"/>
      <c r="F59" s="35"/>
      <c r="G59" s="9"/>
      <c r="H59" s="9"/>
      <c r="I59" s="9"/>
      <c r="J59" s="9"/>
      <c r="K59" s="3"/>
      <c r="L59" s="3"/>
      <c r="M59" s="3"/>
    </row>
    <row r="60" spans="1:13" ht="13.15" hidden="1" customHeight="1" x14ac:dyDescent="0.2">
      <c r="A60" s="78" t="s">
        <v>143</v>
      </c>
      <c r="B60" s="35"/>
      <c r="C60" s="35"/>
      <c r="D60" s="35"/>
      <c r="E60" s="35"/>
      <c r="F60" s="35"/>
      <c r="G60" s="35"/>
      <c r="H60" s="35"/>
      <c r="I60" s="35"/>
      <c r="J60" s="35"/>
      <c r="K60" s="3"/>
      <c r="L60" s="3"/>
      <c r="M60" s="3"/>
    </row>
    <row r="61" spans="1:13" ht="13.15" customHeight="1" x14ac:dyDescent="0.2">
      <c r="A61" s="2" t="s">
        <v>185</v>
      </c>
    </row>
    <row r="62" spans="1:13" ht="13.15" customHeight="1" x14ac:dyDescent="0.2">
      <c r="A62" s="2" t="s">
        <v>184</v>
      </c>
    </row>
    <row r="63" spans="1:13" ht="13.15" customHeight="1" x14ac:dyDescent="0.2">
      <c r="A63" s="116"/>
    </row>
    <row r="64" spans="1:13" ht="13.15" customHeight="1" x14ac:dyDescent="0.2">
      <c r="A64" s="116" t="s">
        <v>202</v>
      </c>
      <c r="B64" s="2"/>
      <c r="C64" s="2"/>
      <c r="D64" s="2"/>
      <c r="G64" s="2"/>
      <c r="H64" s="2"/>
      <c r="I64" s="2"/>
    </row>
    <row r="65" spans="1:9" x14ac:dyDescent="0.2">
      <c r="A65" s="116"/>
      <c r="B65" s="2"/>
      <c r="C65" s="2"/>
      <c r="D65" s="2"/>
      <c r="G65" s="2"/>
      <c r="H65" s="2"/>
      <c r="I65" s="2"/>
    </row>
    <row r="66" spans="1:9" x14ac:dyDescent="0.2">
      <c r="A66" s="116"/>
      <c r="B66" s="2"/>
      <c r="C66" s="2"/>
      <c r="D66" s="2"/>
      <c r="G66" s="2"/>
      <c r="H66" s="2"/>
      <c r="I66" s="2"/>
    </row>
    <row r="67" spans="1:9" x14ac:dyDescent="0.2">
      <c r="A67" s="116"/>
      <c r="B67" s="2"/>
      <c r="C67" s="2"/>
      <c r="D67" s="2"/>
      <c r="G67" s="2"/>
      <c r="H67" s="2"/>
      <c r="I67" s="2"/>
    </row>
    <row r="68" spans="1:9" x14ac:dyDescent="0.2">
      <c r="A68" s="2"/>
      <c r="B68" s="2"/>
      <c r="C68" s="2"/>
      <c r="D68" s="2"/>
      <c r="G68" s="2"/>
      <c r="H68" s="2"/>
      <c r="I68" s="2"/>
    </row>
    <row r="69" spans="1:9" x14ac:dyDescent="0.2">
      <c r="A69" s="42"/>
    </row>
    <row r="70" spans="1:9" x14ac:dyDescent="0.2">
      <c r="A70" s="42"/>
    </row>
  </sheetData>
  <mergeCells count="5">
    <mergeCell ref="B3:E3"/>
    <mergeCell ref="C51:E51"/>
    <mergeCell ref="F1:H1"/>
    <mergeCell ref="G3:J3"/>
    <mergeCell ref="H51:J51"/>
  </mergeCells>
  <printOptions gridLines="1"/>
  <pageMargins left="0.7" right="0.7" top="0.75" bottom="0.75" header="0.3" footer="0.3"/>
  <pageSetup scale="79" orientation="portrait" r:id="rId1"/>
  <headerFooter>
    <oddFooter xml:space="preserve">&amp;CPage &amp;P&amp;RPY 22 Allocations
WDB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88"/>
  <sheetViews>
    <sheetView zoomScale="115" zoomScaleNormal="115" workbookViewId="0">
      <selection activeCell="A4" sqref="A4"/>
    </sheetView>
  </sheetViews>
  <sheetFormatPr defaultRowHeight="12.75" x14ac:dyDescent="0.2"/>
  <cols>
    <col min="1" max="1" width="34.5703125" style="42" customWidth="1"/>
    <col min="2" max="2" width="11.42578125" style="42" bestFit="1" customWidth="1"/>
    <col min="3" max="3" width="14" style="42" bestFit="1" customWidth="1"/>
    <col min="4" max="4" width="14.42578125" style="42" bestFit="1" customWidth="1"/>
    <col min="5" max="5" width="9.85546875" style="42" bestFit="1" customWidth="1"/>
    <col min="6" max="6" width="8.140625" style="42" hidden="1" customWidth="1"/>
    <col min="7" max="7" width="1" style="42" customWidth="1"/>
    <col min="8" max="8" width="11.42578125" style="42" bestFit="1" customWidth="1"/>
    <col min="9" max="9" width="14" style="42" bestFit="1" customWidth="1"/>
    <col min="10" max="10" width="14.42578125" style="42" bestFit="1" customWidth="1"/>
    <col min="11" max="11" width="12.85546875" style="42" bestFit="1" customWidth="1"/>
    <col min="12" max="12" width="12.5703125" style="42" bestFit="1" customWidth="1"/>
    <col min="13" max="13" width="11.42578125" style="42" bestFit="1" customWidth="1"/>
    <col min="14" max="14" width="9.5703125" style="42" bestFit="1" customWidth="1"/>
    <col min="15" max="16384" width="9.140625" style="42"/>
  </cols>
  <sheetData>
    <row r="1" spans="1:11" x14ac:dyDescent="0.2">
      <c r="D1" s="131"/>
      <c r="E1" s="131"/>
      <c r="F1" s="131"/>
      <c r="G1" s="90"/>
    </row>
    <row r="2" spans="1:11" x14ac:dyDescent="0.2">
      <c r="A2" s="80" t="s">
        <v>193</v>
      </c>
      <c r="G2" s="91"/>
      <c r="H2" s="80" t="s">
        <v>188</v>
      </c>
    </row>
    <row r="3" spans="1:11" x14ac:dyDescent="0.2">
      <c r="A3" s="2" t="s">
        <v>203</v>
      </c>
      <c r="B3" s="2"/>
      <c r="C3" s="32"/>
      <c r="D3" s="32"/>
      <c r="E3" s="32"/>
      <c r="G3" s="91"/>
      <c r="H3" s="5">
        <v>44377</v>
      </c>
      <c r="I3" s="18"/>
    </row>
    <row r="4" spans="1:11" x14ac:dyDescent="0.2">
      <c r="A4" s="5"/>
      <c r="C4" s="18"/>
      <c r="D4" s="92"/>
      <c r="E4" s="92" t="s">
        <v>24</v>
      </c>
      <c r="G4" s="91"/>
      <c r="I4" s="18"/>
      <c r="J4" s="92"/>
      <c r="K4" s="92" t="s">
        <v>24</v>
      </c>
    </row>
    <row r="5" spans="1:11" ht="13.5" thickBot="1" x14ac:dyDescent="0.25">
      <c r="A5" s="2"/>
      <c r="B5" s="93" t="s">
        <v>25</v>
      </c>
      <c r="C5" s="94" t="s">
        <v>26</v>
      </c>
      <c r="D5" s="76" t="s">
        <v>182</v>
      </c>
      <c r="E5" s="94" t="s">
        <v>27</v>
      </c>
      <c r="G5" s="91"/>
      <c r="H5" s="93" t="s">
        <v>25</v>
      </c>
      <c r="I5" s="94" t="s">
        <v>26</v>
      </c>
      <c r="J5" s="76" t="s">
        <v>138</v>
      </c>
      <c r="K5" s="94" t="s">
        <v>27</v>
      </c>
    </row>
    <row r="6" spans="1:11" s="2" customFormat="1" ht="13.5" thickBot="1" x14ac:dyDescent="0.25">
      <c r="A6" s="2" t="s">
        <v>60</v>
      </c>
      <c r="B6" s="84">
        <f>SUM(C6:E6)</f>
        <v>409432</v>
      </c>
      <c r="C6" s="84">
        <f>'BY22 Final WIB budget'!C35</f>
        <v>306832</v>
      </c>
      <c r="D6" s="84">
        <f>'BY22 Final WIB budget'!D50</f>
        <v>100000</v>
      </c>
      <c r="E6" s="84">
        <f>'BY22 Final WIB budget'!E35</f>
        <v>2600</v>
      </c>
      <c r="G6" s="95"/>
      <c r="H6" s="84">
        <f>SUM(I6:K6)</f>
        <v>259906</v>
      </c>
      <c r="I6" s="84">
        <v>257306</v>
      </c>
      <c r="J6" s="84">
        <v>0</v>
      </c>
      <c r="K6" s="84">
        <v>2600</v>
      </c>
    </row>
    <row r="7" spans="1:11" s="2" customFormat="1" x14ac:dyDescent="0.2">
      <c r="A7" s="32"/>
      <c r="B7" s="32"/>
      <c r="C7" s="37"/>
      <c r="D7" s="37"/>
      <c r="E7" s="37"/>
      <c r="G7" s="95"/>
      <c r="H7" s="32"/>
      <c r="I7" s="37"/>
      <c r="J7" s="37"/>
      <c r="K7" s="37"/>
    </row>
    <row r="8" spans="1:11" s="41" customFormat="1" ht="13.5" thickBot="1" x14ac:dyDescent="0.25">
      <c r="B8" s="8" t="s">
        <v>61</v>
      </c>
      <c r="C8" s="8" t="s">
        <v>62</v>
      </c>
      <c r="D8" s="8" t="s">
        <v>63</v>
      </c>
      <c r="E8" s="8" t="s">
        <v>64</v>
      </c>
      <c r="G8" s="96"/>
      <c r="H8" s="8" t="s">
        <v>61</v>
      </c>
      <c r="I8" s="8" t="s">
        <v>62</v>
      </c>
      <c r="J8" s="8" t="s">
        <v>63</v>
      </c>
      <c r="K8" s="8" t="s">
        <v>64</v>
      </c>
    </row>
    <row r="9" spans="1:11" s="41" customFormat="1" ht="13.5" thickBot="1" x14ac:dyDescent="0.25">
      <c r="A9" s="97" t="s">
        <v>65</v>
      </c>
      <c r="B9" s="98">
        <f>SUM(C9:E9)</f>
        <v>13706</v>
      </c>
      <c r="C9" s="98">
        <v>9381</v>
      </c>
      <c r="D9" s="98">
        <v>600</v>
      </c>
      <c r="E9" s="98">
        <v>3725</v>
      </c>
      <c r="G9" s="96"/>
      <c r="H9" s="98">
        <f>SUM(I9:K9)</f>
        <v>13706</v>
      </c>
      <c r="I9" s="98">
        <v>9381</v>
      </c>
      <c r="J9" s="98">
        <v>600</v>
      </c>
      <c r="K9" s="98">
        <v>3725</v>
      </c>
    </row>
    <row r="10" spans="1:11" s="41" customFormat="1" x14ac:dyDescent="0.2">
      <c r="A10" s="99" t="s">
        <v>66</v>
      </c>
      <c r="E10" s="105"/>
      <c r="G10" s="96"/>
      <c r="K10" s="97"/>
    </row>
    <row r="11" spans="1:11" s="41" customFormat="1" x14ac:dyDescent="0.2">
      <c r="A11" s="41" t="s">
        <v>67</v>
      </c>
      <c r="B11" s="41">
        <f t="shared" ref="B11:B20" si="0">SUM(C11:E11)</f>
        <v>160978</v>
      </c>
      <c r="C11" s="41">
        <v>92952</v>
      </c>
      <c r="D11" s="41">
        <v>8811</v>
      </c>
      <c r="E11" s="97">
        <v>59215</v>
      </c>
      <c r="G11" s="96"/>
      <c r="H11" s="41">
        <f t="shared" ref="H11:H19" si="1">SUM(I11:K11)</f>
        <v>157232</v>
      </c>
      <c r="I11" s="41">
        <v>89976</v>
      </c>
      <c r="J11" s="41">
        <v>8616</v>
      </c>
      <c r="K11" s="97">
        <v>58640</v>
      </c>
    </row>
    <row r="12" spans="1:11" s="41" customFormat="1" x14ac:dyDescent="0.2">
      <c r="A12" s="41" t="s">
        <v>68</v>
      </c>
      <c r="B12" s="41">
        <f t="shared" si="0"/>
        <v>19776</v>
      </c>
      <c r="C12" s="41">
        <f>14390+1163</f>
        <v>15553</v>
      </c>
      <c r="E12" s="97">
        <v>4223</v>
      </c>
      <c r="G12" s="96"/>
      <c r="H12" s="41">
        <f t="shared" si="1"/>
        <v>14783</v>
      </c>
      <c r="I12" s="41">
        <v>11298</v>
      </c>
      <c r="J12" s="41">
        <v>0</v>
      </c>
      <c r="K12" s="97">
        <v>3485</v>
      </c>
    </row>
    <row r="13" spans="1:11" s="41" customFormat="1" x14ac:dyDescent="0.2">
      <c r="A13" s="41" t="s">
        <v>69</v>
      </c>
      <c r="B13" s="41">
        <f t="shared" si="0"/>
        <v>20886</v>
      </c>
      <c r="C13" s="41">
        <f>13666+1229</f>
        <v>14895</v>
      </c>
      <c r="D13" s="41">
        <v>2428</v>
      </c>
      <c r="E13" s="97">
        <v>3563</v>
      </c>
      <c r="G13" s="96"/>
      <c r="H13" s="41">
        <f t="shared" si="1"/>
        <v>19364</v>
      </c>
      <c r="I13" s="41">
        <v>13550</v>
      </c>
      <c r="J13" s="41">
        <v>2390</v>
      </c>
      <c r="K13" s="97">
        <v>3424</v>
      </c>
    </row>
    <row r="14" spans="1:11" s="41" customFormat="1" x14ac:dyDescent="0.2">
      <c r="A14" s="41" t="s">
        <v>70</v>
      </c>
      <c r="B14" s="41">
        <f t="shared" si="0"/>
        <v>38829</v>
      </c>
      <c r="C14" s="41">
        <f>23210+2284</f>
        <v>25494</v>
      </c>
      <c r="E14" s="97">
        <v>13335</v>
      </c>
      <c r="G14" s="96"/>
      <c r="H14" s="41">
        <f t="shared" si="1"/>
        <v>34529</v>
      </c>
      <c r="I14" s="41">
        <v>23482</v>
      </c>
      <c r="J14" s="41">
        <v>0</v>
      </c>
      <c r="K14" s="97">
        <v>11047</v>
      </c>
    </row>
    <row r="15" spans="1:11" s="41" customFormat="1" x14ac:dyDescent="0.2">
      <c r="A15" s="41" t="s">
        <v>71</v>
      </c>
      <c r="B15" s="41">
        <f t="shared" si="0"/>
        <v>3902</v>
      </c>
      <c r="C15" s="41">
        <f>2407+500</f>
        <v>2907</v>
      </c>
      <c r="E15" s="97">
        <v>995</v>
      </c>
      <c r="G15" s="96"/>
      <c r="H15" s="41">
        <f t="shared" si="1"/>
        <v>3614</v>
      </c>
      <c r="I15" s="41">
        <v>2529</v>
      </c>
      <c r="J15" s="41">
        <v>0</v>
      </c>
      <c r="K15" s="97">
        <v>1085</v>
      </c>
    </row>
    <row r="16" spans="1:11" s="41" customFormat="1" x14ac:dyDescent="0.2">
      <c r="A16" s="41" t="s">
        <v>72</v>
      </c>
      <c r="B16" s="41">
        <f t="shared" si="0"/>
        <v>7352</v>
      </c>
      <c r="C16" s="41">
        <f>4480+432</f>
        <v>4912</v>
      </c>
      <c r="D16" s="41">
        <v>300</v>
      </c>
      <c r="E16" s="97">
        <v>2140</v>
      </c>
      <c r="G16" s="96"/>
      <c r="H16" s="41">
        <v>7161</v>
      </c>
      <c r="I16" s="41">
        <f>4440+2600</f>
        <v>7040</v>
      </c>
      <c r="J16" s="41">
        <v>600</v>
      </c>
      <c r="K16" s="97">
        <v>2121</v>
      </c>
    </row>
    <row r="17" spans="1:11" s="41" customFormat="1" x14ac:dyDescent="0.2">
      <c r="A17" s="41" t="s">
        <v>73</v>
      </c>
      <c r="B17" s="41">
        <f t="shared" si="0"/>
        <v>8288</v>
      </c>
      <c r="C17" s="41">
        <f>4850+488</f>
        <v>5338</v>
      </c>
      <c r="D17" s="41">
        <v>100</v>
      </c>
      <c r="E17" s="97">
        <v>2850</v>
      </c>
      <c r="G17" s="96"/>
      <c r="H17" s="41">
        <f t="shared" si="1"/>
        <v>7631</v>
      </c>
      <c r="I17" s="41">
        <v>4951</v>
      </c>
      <c r="J17" s="41">
        <v>0</v>
      </c>
      <c r="K17" s="97">
        <v>2680</v>
      </c>
    </row>
    <row r="18" spans="1:11" s="41" customFormat="1" x14ac:dyDescent="0.2">
      <c r="A18" s="41" t="s">
        <v>150</v>
      </c>
      <c r="B18" s="41">
        <f t="shared" si="0"/>
        <v>1968</v>
      </c>
      <c r="C18" s="41">
        <f>164+116</f>
        <v>280</v>
      </c>
      <c r="D18" s="41">
        <v>658</v>
      </c>
      <c r="E18" s="41">
        <v>1030</v>
      </c>
      <c r="G18" s="96"/>
      <c r="H18" s="41">
        <f t="shared" si="1"/>
        <v>485</v>
      </c>
      <c r="I18" s="41">
        <v>0</v>
      </c>
      <c r="J18" s="41">
        <v>485</v>
      </c>
      <c r="K18" s="41">
        <v>0</v>
      </c>
    </row>
    <row r="19" spans="1:11" s="41" customFormat="1" x14ac:dyDescent="0.2">
      <c r="A19" s="41" t="s">
        <v>74</v>
      </c>
      <c r="B19" s="41">
        <f t="shared" si="0"/>
        <v>4873</v>
      </c>
      <c r="C19" s="41">
        <f>3165+287</f>
        <v>3452</v>
      </c>
      <c r="D19" s="41">
        <v>183</v>
      </c>
      <c r="E19" s="41">
        <v>1238</v>
      </c>
      <c r="G19" s="96"/>
      <c r="H19" s="41">
        <f t="shared" si="1"/>
        <v>4586</v>
      </c>
      <c r="I19" s="41">
        <v>3165</v>
      </c>
      <c r="J19" s="41">
        <v>183</v>
      </c>
      <c r="K19" s="41">
        <v>1238</v>
      </c>
    </row>
    <row r="20" spans="1:11" s="41" customFormat="1" ht="13.5" thickBot="1" x14ac:dyDescent="0.25">
      <c r="A20" s="41" t="s">
        <v>75</v>
      </c>
      <c r="B20" s="100">
        <f t="shared" si="0"/>
        <v>158468</v>
      </c>
      <c r="C20" s="100">
        <f>64358+7851+15000+20000</f>
        <v>107209</v>
      </c>
      <c r="D20" s="100">
        <v>7883</v>
      </c>
      <c r="E20" s="98">
        <f>28376+15000</f>
        <v>43376</v>
      </c>
      <c r="F20" s="41">
        <f>SUM(B11:B20)+C6+D6+E6</f>
        <v>834752</v>
      </c>
      <c r="G20" s="96"/>
      <c r="H20" s="100">
        <v>96608</v>
      </c>
      <c r="I20" s="100">
        <f>65318+27800+1200</f>
        <v>94318</v>
      </c>
      <c r="J20" s="100">
        <v>8254</v>
      </c>
      <c r="K20" s="98">
        <v>23036</v>
      </c>
    </row>
    <row r="21" spans="1:11" s="41" customFormat="1" x14ac:dyDescent="0.2">
      <c r="E21" s="97"/>
      <c r="G21" s="96"/>
      <c r="K21" s="97"/>
    </row>
    <row r="22" spans="1:11" s="4" customFormat="1" x14ac:dyDescent="0.2">
      <c r="A22" s="4" t="s">
        <v>76</v>
      </c>
      <c r="B22" s="4">
        <f>SUM(B11:B20)</f>
        <v>425320</v>
      </c>
      <c r="C22" s="4">
        <f>SUM(C11:C20)</f>
        <v>272992</v>
      </c>
      <c r="D22" s="4">
        <f>SUM(D11:D20)</f>
        <v>20363</v>
      </c>
      <c r="E22" s="101">
        <f>SUM(E11:E20)</f>
        <v>131965</v>
      </c>
      <c r="G22" s="102"/>
      <c r="H22" s="4">
        <f>SUM(H11:H20)</f>
        <v>345993</v>
      </c>
      <c r="I22" s="4">
        <f>SUM(I11:I20)</f>
        <v>250309</v>
      </c>
      <c r="J22" s="4">
        <f>SUM(J11:J20)</f>
        <v>20528</v>
      </c>
      <c r="K22" s="101">
        <f>SUM(K11:K20)</f>
        <v>106756</v>
      </c>
    </row>
    <row r="23" spans="1:11" s="4" customFormat="1" x14ac:dyDescent="0.2">
      <c r="E23" s="101"/>
      <c r="G23" s="102"/>
      <c r="K23" s="101"/>
    </row>
    <row r="24" spans="1:11" s="41" customFormat="1" x14ac:dyDescent="0.2">
      <c r="A24" s="41" t="s">
        <v>194</v>
      </c>
      <c r="B24" s="41">
        <f>SUM(C24:E24)</f>
        <v>-62881</v>
      </c>
      <c r="C24" s="41">
        <f>-'BY22 Final Allocations '!D45</f>
        <v>-54072</v>
      </c>
      <c r="E24" s="97">
        <f>-'BY22 Final Allocations '!D46</f>
        <v>-8809</v>
      </c>
      <c r="G24" s="96"/>
      <c r="H24" s="41">
        <f>SUM(I24:K24)</f>
        <v>-74452</v>
      </c>
      <c r="I24" s="41">
        <v>-54072</v>
      </c>
      <c r="K24" s="97">
        <v>-20380</v>
      </c>
    </row>
    <row r="25" spans="1:11" s="41" customFormat="1" x14ac:dyDescent="0.2">
      <c r="A25" s="42" t="s">
        <v>16</v>
      </c>
      <c r="B25" s="41">
        <f>SUM(C25:E25)</f>
        <v>-14865</v>
      </c>
      <c r="C25" s="41">
        <v>-8935</v>
      </c>
      <c r="E25" s="97">
        <v>-5930</v>
      </c>
      <c r="G25" s="96"/>
      <c r="H25" s="41">
        <f>SUM(I25:K25)</f>
        <v>-15429</v>
      </c>
      <c r="I25" s="41">
        <v>-8353</v>
      </c>
      <c r="K25" s="97">
        <v>-7076</v>
      </c>
    </row>
    <row r="26" spans="1:11" s="41" customFormat="1" x14ac:dyDescent="0.2">
      <c r="A26" s="42" t="s">
        <v>77</v>
      </c>
      <c r="B26" s="41">
        <f>SUM(C26:E26)</f>
        <v>-20592</v>
      </c>
      <c r="E26" s="97">
        <f>-'BY22 Final Allocations '!D50</f>
        <v>-20592</v>
      </c>
      <c r="G26" s="96"/>
      <c r="H26" s="41">
        <f>SUM(I26:K26)</f>
        <v>-20592</v>
      </c>
      <c r="K26" s="97">
        <v>-20592</v>
      </c>
    </row>
    <row r="27" spans="1:11" s="41" customFormat="1" x14ac:dyDescent="0.2">
      <c r="A27" s="42" t="s">
        <v>17</v>
      </c>
      <c r="B27" s="41">
        <f>SUM(C27:E27)</f>
        <v>-5900</v>
      </c>
      <c r="E27" s="97">
        <f>-'BY22 Final Allocations '!D49</f>
        <v>-5900</v>
      </c>
      <c r="G27" s="96"/>
      <c r="H27" s="41">
        <f>SUM(I27:K27)</f>
        <v>-6865</v>
      </c>
      <c r="K27" s="97">
        <v>-6865</v>
      </c>
    </row>
    <row r="28" spans="1:11" s="41" customFormat="1" ht="13.5" thickBot="1" x14ac:dyDescent="0.25">
      <c r="A28" s="42" t="s">
        <v>135</v>
      </c>
      <c r="B28" s="100">
        <f>SUM(C28:E28)</f>
        <v>0</v>
      </c>
      <c r="C28" s="100">
        <f>-'BY22 Final Allocations '!D51</f>
        <v>0</v>
      </c>
      <c r="D28" s="100"/>
      <c r="E28" s="98"/>
      <c r="F28" s="41">
        <f>SUM(B24:B28)</f>
        <v>-104238</v>
      </c>
      <c r="G28" s="96"/>
      <c r="H28" s="100">
        <f>SUM(I28:K28)</f>
        <v>-8100</v>
      </c>
      <c r="I28" s="100">
        <v>-8100</v>
      </c>
      <c r="J28" s="100"/>
      <c r="K28" s="98"/>
    </row>
    <row r="29" spans="1:11" s="41" customFormat="1" x14ac:dyDescent="0.2">
      <c r="A29" s="42"/>
      <c r="E29" s="97"/>
      <c r="G29" s="96"/>
      <c r="K29" s="97"/>
    </row>
    <row r="30" spans="1:11" s="103" customFormat="1" x14ac:dyDescent="0.2">
      <c r="A30" s="4" t="s">
        <v>78</v>
      </c>
      <c r="B30" s="4">
        <f>SUM(B22:B28)</f>
        <v>321082</v>
      </c>
      <c r="C30" s="4">
        <f>SUM(C22:C28)</f>
        <v>209985</v>
      </c>
      <c r="D30" s="4">
        <f>SUM(D22:D28)</f>
        <v>20363</v>
      </c>
      <c r="E30" s="4">
        <f>SUM(E22:E28)</f>
        <v>90734</v>
      </c>
      <c r="F30" s="103">
        <f>F20+F28</f>
        <v>730514</v>
      </c>
      <c r="G30" s="104"/>
      <c r="H30" s="4">
        <f>SUM(H22:H28)</f>
        <v>220555</v>
      </c>
      <c r="I30" s="4">
        <f>SUM(I22:I28)</f>
        <v>179784</v>
      </c>
      <c r="J30" s="4">
        <f>SUM(J22:J28)</f>
        <v>20528</v>
      </c>
      <c r="K30" s="4">
        <f>SUM(K22:K28)</f>
        <v>51843</v>
      </c>
    </row>
    <row r="31" spans="1:11" s="103" customFormat="1" ht="9.75" customHeight="1" x14ac:dyDescent="0.2">
      <c r="A31" s="4"/>
      <c r="B31" s="4"/>
      <c r="C31" s="4"/>
      <c r="D31" s="4"/>
      <c r="E31" s="4"/>
      <c r="G31" s="104"/>
      <c r="H31" s="4"/>
      <c r="I31" s="4"/>
      <c r="J31" s="4"/>
      <c r="K31" s="4"/>
    </row>
    <row r="32" spans="1:11" s="41" customFormat="1" ht="11.25" hidden="1" customHeight="1" x14ac:dyDescent="0.2">
      <c r="A32" s="4" t="s">
        <v>101</v>
      </c>
      <c r="C32" s="46">
        <v>43100</v>
      </c>
      <c r="D32" s="46"/>
      <c r="E32" s="46">
        <v>44165</v>
      </c>
      <c r="G32" s="96"/>
      <c r="I32" s="46">
        <v>43100</v>
      </c>
      <c r="J32" s="46"/>
      <c r="K32" s="46">
        <v>44165</v>
      </c>
    </row>
    <row r="33" spans="1:13" s="41" customFormat="1" ht="11.25" hidden="1" customHeight="1" x14ac:dyDescent="0.2">
      <c r="A33" s="4"/>
      <c r="C33" s="46">
        <v>43281</v>
      </c>
      <c r="D33" s="46"/>
      <c r="E33" s="46">
        <v>43281</v>
      </c>
      <c r="G33" s="96"/>
      <c r="I33" s="46">
        <v>43281</v>
      </c>
      <c r="J33" s="46"/>
      <c r="K33" s="46">
        <v>43281</v>
      </c>
    </row>
    <row r="34" spans="1:13" s="41" customFormat="1" ht="11.25" hidden="1" customHeight="1" x14ac:dyDescent="0.2">
      <c r="A34" s="4"/>
      <c r="C34" s="46"/>
      <c r="D34" s="46"/>
      <c r="E34" s="46">
        <v>43039</v>
      </c>
      <c r="G34" s="96"/>
      <c r="I34" s="46"/>
      <c r="J34" s="46"/>
      <c r="K34" s="46">
        <v>43039</v>
      </c>
    </row>
    <row r="35" spans="1:13" s="41" customFormat="1" ht="11.25" hidden="1" customHeight="1" x14ac:dyDescent="0.2">
      <c r="A35" s="4"/>
      <c r="C35" s="46"/>
      <c r="D35" s="46"/>
      <c r="E35" s="46">
        <v>43465</v>
      </c>
      <c r="G35" s="96"/>
      <c r="I35" s="46"/>
      <c r="J35" s="46"/>
      <c r="K35" s="46">
        <v>43465</v>
      </c>
    </row>
    <row r="36" spans="1:13" s="41" customFormat="1" x14ac:dyDescent="0.2">
      <c r="A36" s="4"/>
      <c r="C36" s="46"/>
      <c r="D36" s="46"/>
      <c r="E36" s="46"/>
      <c r="G36" s="96"/>
      <c r="I36" s="46"/>
      <c r="J36" s="46"/>
      <c r="K36" s="46"/>
    </row>
    <row r="37" spans="1:13" s="41" customFormat="1" x14ac:dyDescent="0.2">
      <c r="A37" s="99" t="s">
        <v>79</v>
      </c>
      <c r="E37" s="97"/>
      <c r="G37" s="96"/>
      <c r="K37" s="97"/>
      <c r="L37" s="105"/>
      <c r="M37" s="105"/>
    </row>
    <row r="38" spans="1:13" s="41" customFormat="1" x14ac:dyDescent="0.2">
      <c r="A38" s="106"/>
      <c r="D38" s="92"/>
      <c r="E38" s="77" t="s">
        <v>24</v>
      </c>
      <c r="G38" s="96"/>
      <c r="J38" s="92"/>
      <c r="K38" s="77" t="s">
        <v>24</v>
      </c>
    </row>
    <row r="39" spans="1:13" s="41" customFormat="1" ht="13.5" thickBot="1" x14ac:dyDescent="0.25">
      <c r="A39" s="106" t="s">
        <v>153</v>
      </c>
      <c r="B39" s="100"/>
      <c r="C39" s="76" t="s">
        <v>22</v>
      </c>
      <c r="D39" s="76"/>
      <c r="E39" s="76" t="s">
        <v>27</v>
      </c>
      <c r="G39" s="96"/>
      <c r="H39" s="100"/>
      <c r="I39" s="76" t="s">
        <v>22</v>
      </c>
      <c r="J39" s="76" t="s">
        <v>138</v>
      </c>
      <c r="K39" s="76" t="s">
        <v>27</v>
      </c>
    </row>
    <row r="40" spans="1:13" s="41" customFormat="1" x14ac:dyDescent="0.2">
      <c r="A40" s="41" t="s">
        <v>195</v>
      </c>
      <c r="B40" s="41">
        <f>C40</f>
        <v>122119</v>
      </c>
      <c r="C40" s="41">
        <v>122119</v>
      </c>
      <c r="E40" s="97"/>
      <c r="G40" s="96"/>
      <c r="H40" s="41">
        <f>SUM(I40:K40)</f>
        <v>122119.20000000001</v>
      </c>
      <c r="I40" s="41">
        <f>30673+28532+28023+SUM(87228*0.4)</f>
        <v>122119.20000000001</v>
      </c>
      <c r="K40" s="97"/>
      <c r="M40" s="97"/>
    </row>
    <row r="41" spans="1:13" s="41" customFormat="1" x14ac:dyDescent="0.2">
      <c r="A41" s="41" t="s">
        <v>80</v>
      </c>
      <c r="B41" s="41">
        <f t="shared" ref="B41:B47" si="2">SUM(C41:E41)</f>
        <v>54953</v>
      </c>
      <c r="C41" s="41">
        <v>48167</v>
      </c>
      <c r="E41" s="97">
        <v>6786</v>
      </c>
      <c r="G41" s="96"/>
      <c r="H41" s="41">
        <f>SUM(I41:K41)</f>
        <v>54952.800000000003</v>
      </c>
      <c r="I41" s="41">
        <f>39252+SUM(39252*0.4)-4837</f>
        <v>50115.8</v>
      </c>
      <c r="K41" s="97">
        <v>4837</v>
      </c>
      <c r="L41" s="118"/>
      <c r="M41" s="97"/>
    </row>
    <row r="42" spans="1:13" s="41" customFormat="1" x14ac:dyDescent="0.2">
      <c r="A42" s="41" t="s">
        <v>81</v>
      </c>
      <c r="B42" s="41">
        <f t="shared" si="2"/>
        <v>42945</v>
      </c>
      <c r="C42" s="41">
        <v>42945</v>
      </c>
      <c r="E42" s="97"/>
      <c r="G42" s="96"/>
      <c r="H42" s="41">
        <f t="shared" ref="H42:H47" si="3">SUM(I42:K42)</f>
        <v>42945</v>
      </c>
      <c r="I42" s="41">
        <f>30675+SUM(30675*0.4)</f>
        <v>42945</v>
      </c>
      <c r="K42" s="97"/>
      <c r="L42" s="118"/>
      <c r="M42" s="97"/>
    </row>
    <row r="43" spans="1:13" s="41" customFormat="1" x14ac:dyDescent="0.2">
      <c r="A43" s="41" t="s">
        <v>82</v>
      </c>
      <c r="B43" s="41">
        <f t="shared" si="2"/>
        <v>71674</v>
      </c>
      <c r="C43" s="41">
        <v>69817</v>
      </c>
      <c r="E43" s="41">
        <v>1857</v>
      </c>
      <c r="G43" s="96"/>
      <c r="H43" s="41">
        <f t="shared" si="3"/>
        <v>71674.399999999994</v>
      </c>
      <c r="I43" s="41">
        <f>51196+SUM(51196*0.4)-2762</f>
        <v>68912.399999999994</v>
      </c>
      <c r="K43" s="41">
        <v>2762</v>
      </c>
      <c r="L43" s="118"/>
      <c r="M43" s="97"/>
    </row>
    <row r="44" spans="1:13" s="41" customFormat="1" x14ac:dyDescent="0.2">
      <c r="A44" s="41" t="s">
        <v>83</v>
      </c>
      <c r="B44" s="41">
        <f t="shared" si="2"/>
        <v>58757</v>
      </c>
      <c r="C44" s="41">
        <v>45161</v>
      </c>
      <c r="E44" s="97">
        <v>13596</v>
      </c>
      <c r="G44" s="96"/>
      <c r="H44" s="41">
        <f t="shared" si="3"/>
        <v>58756.600000000006</v>
      </c>
      <c r="I44" s="41">
        <f>41969+SUM(41969*0.4)-9774</f>
        <v>48982.600000000006</v>
      </c>
      <c r="K44" s="97">
        <v>9774</v>
      </c>
      <c r="L44" s="118"/>
      <c r="M44" s="97"/>
    </row>
    <row r="45" spans="1:13" s="41" customFormat="1" x14ac:dyDescent="0.2">
      <c r="A45" s="41" t="s">
        <v>84</v>
      </c>
      <c r="B45" s="41">
        <f t="shared" si="2"/>
        <v>48049</v>
      </c>
      <c r="C45" s="41">
        <v>48049</v>
      </c>
      <c r="G45" s="96"/>
      <c r="H45" s="41">
        <f t="shared" si="3"/>
        <v>48049.4</v>
      </c>
      <c r="I45" s="41">
        <f>34321+SUM(34321*0.4)-1483</f>
        <v>46566.400000000001</v>
      </c>
      <c r="K45" s="41">
        <v>1483</v>
      </c>
      <c r="L45" s="118"/>
    </row>
    <row r="46" spans="1:13" s="41" customFormat="1" x14ac:dyDescent="0.2">
      <c r="A46" s="41" t="s">
        <v>85</v>
      </c>
      <c r="B46" s="41">
        <f t="shared" si="2"/>
        <v>51062</v>
      </c>
      <c r="C46" s="41">
        <v>51062</v>
      </c>
      <c r="G46" s="96"/>
      <c r="H46" s="41">
        <f t="shared" si="3"/>
        <v>51062.2</v>
      </c>
      <c r="I46" s="41">
        <f>36473+SUM(36473*0.4)</f>
        <v>51062.2</v>
      </c>
      <c r="L46" s="118"/>
    </row>
    <row r="47" spans="1:13" s="41" customFormat="1" x14ac:dyDescent="0.2">
      <c r="A47" s="41" t="s">
        <v>168</v>
      </c>
      <c r="B47" s="41">
        <f t="shared" si="2"/>
        <v>47600</v>
      </c>
      <c r="C47" s="41">
        <v>46424</v>
      </c>
      <c r="E47" s="41">
        <v>1176</v>
      </c>
      <c r="G47" s="96"/>
      <c r="H47" s="41">
        <f t="shared" si="3"/>
        <v>47600</v>
      </c>
      <c r="I47" s="41">
        <f>34000+SUM(34000*0.4)-1366</f>
        <v>46234</v>
      </c>
      <c r="K47" s="41">
        <v>1366</v>
      </c>
      <c r="L47" s="118"/>
    </row>
    <row r="48" spans="1:13" s="41" customFormat="1" ht="13.5" thickBot="1" x14ac:dyDescent="0.25">
      <c r="A48" s="41" t="s">
        <v>144</v>
      </c>
      <c r="B48" s="100">
        <f>SUM(C48:E48)</f>
        <v>98846</v>
      </c>
      <c r="C48" s="100">
        <v>93716</v>
      </c>
      <c r="D48" s="100"/>
      <c r="E48" s="100">
        <v>5130</v>
      </c>
      <c r="G48" s="96"/>
      <c r="H48" s="100">
        <f>SUM(I48:K48)</f>
        <v>98845.6</v>
      </c>
      <c r="I48" s="100">
        <f>70604+SUM(70604*0.4)-2633</f>
        <v>96212.6</v>
      </c>
      <c r="J48" s="100"/>
      <c r="K48" s="100">
        <v>2633</v>
      </c>
      <c r="L48" s="118"/>
    </row>
    <row r="49" spans="1:11" s="41" customFormat="1" x14ac:dyDescent="0.2">
      <c r="A49" s="106" t="s">
        <v>153</v>
      </c>
      <c r="B49" s="4">
        <f>SUM(B40:B48)</f>
        <v>596005</v>
      </c>
      <c r="C49" s="4">
        <f>SUM(C40:C48)</f>
        <v>567460</v>
      </c>
      <c r="D49" s="4">
        <f>SUM(D40:D48)</f>
        <v>0</v>
      </c>
      <c r="E49" s="4">
        <f>SUM(E40:E48)</f>
        <v>28545</v>
      </c>
      <c r="G49" s="96"/>
      <c r="H49" s="4">
        <f>SUM(H40:H48)</f>
        <v>596005.20000000007</v>
      </c>
      <c r="I49" s="4">
        <f>SUM(I40:I48)</f>
        <v>573150.20000000007</v>
      </c>
      <c r="J49" s="4">
        <f>SUM(J40:J48)</f>
        <v>0</v>
      </c>
      <c r="K49" s="4">
        <f>SUM(K40:K48)</f>
        <v>22855</v>
      </c>
    </row>
    <row r="50" spans="1:11" s="41" customFormat="1" x14ac:dyDescent="0.2">
      <c r="G50" s="96"/>
    </row>
    <row r="51" spans="1:11" s="41" customFormat="1" x14ac:dyDescent="0.2">
      <c r="E51" s="7" t="s">
        <v>22</v>
      </c>
      <c r="G51" s="96"/>
      <c r="K51" s="7" t="s">
        <v>22</v>
      </c>
    </row>
    <row r="52" spans="1:11" s="41" customFormat="1" x14ac:dyDescent="0.2">
      <c r="D52" s="49"/>
      <c r="E52" s="77" t="s">
        <v>24</v>
      </c>
      <c r="G52" s="96"/>
      <c r="J52" s="49" t="s">
        <v>22</v>
      </c>
      <c r="K52" s="77" t="s">
        <v>24</v>
      </c>
    </row>
    <row r="53" spans="1:11" s="41" customFormat="1" ht="13.5" thickBot="1" x14ac:dyDescent="0.25">
      <c r="B53" s="100"/>
      <c r="C53" s="76" t="s">
        <v>26</v>
      </c>
      <c r="D53" s="76"/>
      <c r="E53" s="76" t="s">
        <v>27</v>
      </c>
      <c r="G53" s="96"/>
      <c r="H53" s="100"/>
      <c r="I53" s="76" t="s">
        <v>26</v>
      </c>
      <c r="J53" s="76" t="s">
        <v>138</v>
      </c>
      <c r="K53" s="76" t="s">
        <v>27</v>
      </c>
    </row>
    <row r="54" spans="1:11" s="41" customFormat="1" x14ac:dyDescent="0.2">
      <c r="A54" s="99" t="s">
        <v>86</v>
      </c>
      <c r="E54" s="97"/>
      <c r="G54" s="96"/>
      <c r="K54" s="97"/>
    </row>
    <row r="55" spans="1:11" s="41" customFormat="1" x14ac:dyDescent="0.2">
      <c r="A55" s="41" t="s">
        <v>87</v>
      </c>
      <c r="B55" s="41">
        <f>SUM(C55:E55)</f>
        <v>9000</v>
      </c>
      <c r="C55" s="41">
        <v>6367</v>
      </c>
      <c r="E55" s="41">
        <v>2633</v>
      </c>
      <c r="G55" s="96"/>
      <c r="H55" s="41">
        <f>SUM(I55:K55)</f>
        <v>8000</v>
      </c>
      <c r="I55" s="41">
        <f>8000-700</f>
        <v>7300</v>
      </c>
      <c r="K55" s="41">
        <v>700</v>
      </c>
    </row>
    <row r="56" spans="1:11" s="41" customFormat="1" x14ac:dyDescent="0.2">
      <c r="A56" s="41" t="s">
        <v>88</v>
      </c>
      <c r="B56" s="41">
        <f t="shared" ref="B56:B59" si="4">SUM(C56:E56)</f>
        <v>6500</v>
      </c>
      <c r="C56" s="41">
        <v>2344</v>
      </c>
      <c r="E56" s="41">
        <v>4156</v>
      </c>
      <c r="G56" s="96"/>
      <c r="H56" s="41">
        <f t="shared" ref="H56:H59" si="5">SUM(I56:K56)</f>
        <v>6500</v>
      </c>
      <c r="I56" s="41">
        <f>6500-3917</f>
        <v>2583</v>
      </c>
      <c r="K56" s="41">
        <v>3917</v>
      </c>
    </row>
    <row r="57" spans="1:11" s="41" customFormat="1" x14ac:dyDescent="0.2">
      <c r="A57" s="41" t="s">
        <v>89</v>
      </c>
      <c r="B57" s="41">
        <f t="shared" si="4"/>
        <v>5000</v>
      </c>
      <c r="C57" s="41">
        <v>5000</v>
      </c>
      <c r="G57" s="96"/>
      <c r="H57" s="41">
        <f t="shared" si="5"/>
        <v>4000</v>
      </c>
      <c r="I57" s="41">
        <v>4000</v>
      </c>
    </row>
    <row r="58" spans="1:11" s="41" customFormat="1" x14ac:dyDescent="0.2">
      <c r="A58" s="41" t="s">
        <v>90</v>
      </c>
      <c r="B58" s="41">
        <f t="shared" si="4"/>
        <v>77500</v>
      </c>
      <c r="C58" s="41">
        <v>68500</v>
      </c>
      <c r="E58" s="41">
        <v>9000</v>
      </c>
      <c r="G58" s="96"/>
      <c r="H58" s="41">
        <f t="shared" si="5"/>
        <v>71500</v>
      </c>
      <c r="I58" s="41">
        <f>71500-5600</f>
        <v>65900</v>
      </c>
      <c r="K58" s="41">
        <v>5600</v>
      </c>
    </row>
    <row r="59" spans="1:11" s="41" customFormat="1" x14ac:dyDescent="0.2">
      <c r="A59" s="41" t="s">
        <v>91</v>
      </c>
      <c r="B59" s="41">
        <f t="shared" si="4"/>
        <v>2500</v>
      </c>
      <c r="C59" s="41">
        <v>2500</v>
      </c>
      <c r="G59" s="96"/>
      <c r="H59" s="41">
        <f t="shared" si="5"/>
        <v>2000</v>
      </c>
      <c r="I59" s="41">
        <v>2000</v>
      </c>
    </row>
    <row r="60" spans="1:11" s="41" customFormat="1" ht="13.5" thickBot="1" x14ac:dyDescent="0.25">
      <c r="A60" s="4" t="s">
        <v>92</v>
      </c>
      <c r="B60" s="100"/>
      <c r="C60" s="100"/>
      <c r="D60" s="100"/>
      <c r="E60" s="100"/>
      <c r="G60" s="96"/>
      <c r="H60" s="100"/>
      <c r="I60" s="100"/>
      <c r="J60" s="100"/>
      <c r="K60" s="100"/>
    </row>
    <row r="61" spans="1:11" s="41" customFormat="1" x14ac:dyDescent="0.2">
      <c r="A61" s="4" t="s">
        <v>93</v>
      </c>
      <c r="B61" s="4">
        <f>SUM(B40:B59)-B49</f>
        <v>696505</v>
      </c>
      <c r="C61" s="4">
        <f>SUM(C40:C59)-C49</f>
        <v>652171</v>
      </c>
      <c r="D61" s="4">
        <f>SUM(D40:D59)-D49</f>
        <v>0</v>
      </c>
      <c r="E61" s="4">
        <f>SUM(E40:E59)-E49</f>
        <v>44334</v>
      </c>
      <c r="G61" s="96"/>
      <c r="H61" s="4">
        <f>SUM(H40:H59)-H49</f>
        <v>688005.20000000007</v>
      </c>
      <c r="I61" s="4">
        <f>SUM(I40:I59)-I49</f>
        <v>654933.20000000007</v>
      </c>
      <c r="J61" s="4">
        <f>SUM(J40:J59)-J49</f>
        <v>0</v>
      </c>
      <c r="K61" s="4">
        <f>SUM(K40:K59)-K49</f>
        <v>33072</v>
      </c>
    </row>
    <row r="62" spans="1:11" s="41" customFormat="1" x14ac:dyDescent="0.2">
      <c r="A62" s="4"/>
      <c r="B62" s="4"/>
      <c r="C62" s="4"/>
      <c r="D62" s="4"/>
      <c r="E62" s="101"/>
      <c r="G62" s="96"/>
      <c r="H62" s="4"/>
      <c r="I62" s="4"/>
      <c r="J62" s="4"/>
      <c r="K62" s="101"/>
    </row>
    <row r="63" spans="1:11" s="41" customFormat="1" x14ac:dyDescent="0.2">
      <c r="A63" s="4"/>
      <c r="B63" s="4"/>
      <c r="C63" s="4"/>
      <c r="D63" s="4"/>
      <c r="E63" s="101"/>
      <c r="G63" s="96"/>
      <c r="H63" s="4"/>
      <c r="I63" s="4"/>
      <c r="J63" s="4"/>
      <c r="K63" s="101"/>
    </row>
    <row r="64" spans="1:11" s="41" customFormat="1" x14ac:dyDescent="0.2">
      <c r="E64" s="7" t="s">
        <v>22</v>
      </c>
      <c r="G64" s="96"/>
      <c r="K64" s="7" t="s">
        <v>22</v>
      </c>
    </row>
    <row r="65" spans="1:11" s="41" customFormat="1" x14ac:dyDescent="0.2">
      <c r="A65" s="99" t="s">
        <v>169</v>
      </c>
      <c r="D65" s="49"/>
      <c r="E65" s="77" t="s">
        <v>24</v>
      </c>
      <c r="G65" s="96"/>
      <c r="J65" s="49" t="s">
        <v>22</v>
      </c>
      <c r="K65" s="77" t="s">
        <v>24</v>
      </c>
    </row>
    <row r="66" spans="1:11" s="41" customFormat="1" ht="13.5" thickBot="1" x14ac:dyDescent="0.25">
      <c r="A66" s="99"/>
      <c r="B66" s="100"/>
      <c r="C66" s="76" t="s">
        <v>26</v>
      </c>
      <c r="D66" s="76"/>
      <c r="E66" s="76" t="s">
        <v>27</v>
      </c>
      <c r="G66" s="96"/>
      <c r="H66" s="100"/>
      <c r="I66" s="76" t="s">
        <v>26</v>
      </c>
      <c r="J66" s="76" t="s">
        <v>138</v>
      </c>
      <c r="K66" s="76" t="s">
        <v>27</v>
      </c>
    </row>
    <row r="67" spans="1:11" s="41" customFormat="1" x14ac:dyDescent="0.2">
      <c r="A67" s="41" t="s">
        <v>94</v>
      </c>
      <c r="B67" s="41">
        <f>SUM(C67:E67)</f>
        <v>75000</v>
      </c>
      <c r="C67" s="41">
        <v>75000</v>
      </c>
      <c r="E67" s="97"/>
      <c r="G67" s="96"/>
      <c r="H67" s="41">
        <f>SUM(I67:K67)</f>
        <v>75000</v>
      </c>
      <c r="I67" s="41">
        <v>75000</v>
      </c>
      <c r="K67" s="97"/>
    </row>
    <row r="68" spans="1:11" s="41" customFormat="1" x14ac:dyDescent="0.2">
      <c r="A68" s="41" t="s">
        <v>151</v>
      </c>
      <c r="B68" s="41">
        <f>SUM(C68:E68)</f>
        <v>75000</v>
      </c>
      <c r="C68" s="41">
        <v>75000</v>
      </c>
      <c r="E68" s="97"/>
      <c r="G68" s="96"/>
      <c r="H68" s="41">
        <f>SUM(I68:K68)</f>
        <v>75000</v>
      </c>
      <c r="I68" s="41">
        <v>75000</v>
      </c>
      <c r="K68" s="97"/>
    </row>
    <row r="69" spans="1:11" s="41" customFormat="1" x14ac:dyDescent="0.2">
      <c r="A69" s="42" t="s">
        <v>196</v>
      </c>
      <c r="B69" s="41">
        <v>30845</v>
      </c>
      <c r="E69" s="97"/>
      <c r="G69" s="96"/>
      <c r="K69" s="97"/>
    </row>
    <row r="70" spans="1:11" s="41" customFormat="1" x14ac:dyDescent="0.2">
      <c r="A70" s="41" t="s">
        <v>95</v>
      </c>
      <c r="B70" s="41">
        <f t="shared" ref="B70" si="6">SUM(C70:E70)</f>
        <v>262992</v>
      </c>
      <c r="E70" s="97">
        <v>262992</v>
      </c>
      <c r="G70" s="96"/>
      <c r="H70" s="41">
        <f t="shared" ref="H70" si="7">SUM(I70:K70)</f>
        <v>254780.30000000002</v>
      </c>
      <c r="K70" s="97">
        <f>256020.45-1240.15</f>
        <v>254780.30000000002</v>
      </c>
    </row>
    <row r="71" spans="1:11" s="41" customFormat="1" ht="13.5" thickBot="1" x14ac:dyDescent="0.25">
      <c r="A71" s="41" t="s">
        <v>96</v>
      </c>
      <c r="B71" s="100">
        <f>SUM(C71:E71)</f>
        <v>32730</v>
      </c>
      <c r="C71" s="100">
        <v>32730</v>
      </c>
      <c r="D71" s="100"/>
      <c r="E71" s="98"/>
      <c r="F71" s="100"/>
      <c r="G71" s="108"/>
      <c r="H71" s="100">
        <f>SUM(I71:K71)</f>
        <v>42803</v>
      </c>
      <c r="I71" s="100">
        <v>42803</v>
      </c>
      <c r="J71" s="100"/>
      <c r="K71" s="98"/>
    </row>
    <row r="72" spans="1:11" s="41" customFormat="1" x14ac:dyDescent="0.2">
      <c r="A72" s="4" t="s">
        <v>97</v>
      </c>
      <c r="B72" s="4">
        <f>SUM(B67:B71)</f>
        <v>476567</v>
      </c>
      <c r="C72" s="4">
        <f>SUM(C67:C71)</f>
        <v>182730</v>
      </c>
      <c r="D72" s="4">
        <f>SUM(D67:D71)</f>
        <v>0</v>
      </c>
      <c r="E72" s="4">
        <f>SUM(E67:E71)</f>
        <v>262992</v>
      </c>
      <c r="G72" s="96"/>
      <c r="H72" s="4">
        <f>SUM(H67:H71)</f>
        <v>447583.30000000005</v>
      </c>
      <c r="I72" s="4">
        <f t="shared" ref="I72:K72" si="8">SUM(I67:I71)</f>
        <v>192803</v>
      </c>
      <c r="J72" s="4">
        <f t="shared" si="8"/>
        <v>0</v>
      </c>
      <c r="K72" s="4">
        <f t="shared" si="8"/>
        <v>254780.30000000002</v>
      </c>
    </row>
    <row r="73" spans="1:11" s="41" customFormat="1" x14ac:dyDescent="0.2">
      <c r="A73" s="4"/>
      <c r="B73" s="4"/>
      <c r="E73" s="97"/>
      <c r="G73" s="96"/>
      <c r="H73" s="4"/>
      <c r="K73" s="97"/>
    </row>
    <row r="74" spans="1:11" s="41" customFormat="1" x14ac:dyDescent="0.2">
      <c r="A74" s="4"/>
      <c r="B74" s="4"/>
      <c r="E74" s="97"/>
      <c r="G74" s="96"/>
      <c r="H74" s="4"/>
      <c r="K74" s="97"/>
    </row>
    <row r="75" spans="1:11" s="41" customFormat="1" ht="13.5" thickBot="1" x14ac:dyDescent="0.25">
      <c r="A75" s="84" t="s">
        <v>140</v>
      </c>
      <c r="B75" s="84">
        <f>D75</f>
        <v>0</v>
      </c>
      <c r="C75" s="84"/>
      <c r="D75" s="100">
        <v>0</v>
      </c>
      <c r="E75" s="109"/>
      <c r="G75" s="96"/>
      <c r="H75" s="84">
        <f>J75</f>
        <v>0</v>
      </c>
      <c r="I75" s="84"/>
      <c r="J75" s="100">
        <v>0</v>
      </c>
      <c r="K75" s="109"/>
    </row>
    <row r="76" spans="1:11" s="41" customFormat="1" x14ac:dyDescent="0.2">
      <c r="A76" s="4"/>
      <c r="B76" s="4"/>
      <c r="E76" s="97"/>
      <c r="G76" s="96"/>
      <c r="H76" s="4"/>
      <c r="K76" s="97"/>
    </row>
    <row r="77" spans="1:11" s="41" customFormat="1" x14ac:dyDescent="0.2">
      <c r="A77" s="4"/>
      <c r="B77" s="4"/>
      <c r="E77" s="97"/>
      <c r="G77" s="96"/>
      <c r="H77" s="4"/>
      <c r="K77" s="97"/>
    </row>
    <row r="78" spans="1:11" s="41" customFormat="1" x14ac:dyDescent="0.2">
      <c r="A78" s="4" t="s">
        <v>170</v>
      </c>
      <c r="B78" s="4"/>
      <c r="E78" s="97"/>
      <c r="G78" s="96"/>
      <c r="H78" s="4"/>
      <c r="K78" s="97"/>
    </row>
    <row r="79" spans="1:11" s="41" customFormat="1" ht="13.5" thickBot="1" x14ac:dyDescent="0.25">
      <c r="A79" s="4" t="s">
        <v>98</v>
      </c>
      <c r="B79" s="84">
        <f>B61+B72+B75</f>
        <v>1173072</v>
      </c>
      <c r="E79" s="97"/>
      <c r="G79" s="96"/>
      <c r="H79" s="84">
        <f>H61+H72+H75</f>
        <v>1135588.5</v>
      </c>
      <c r="K79" s="97"/>
    </row>
    <row r="80" spans="1:11" s="41" customFormat="1" x14ac:dyDescent="0.2">
      <c r="E80" s="97"/>
      <c r="G80" s="96"/>
      <c r="K80" s="97"/>
    </row>
    <row r="81" spans="1:11" s="41" customFormat="1" x14ac:dyDescent="0.2">
      <c r="B81" s="4"/>
      <c r="C81" s="4"/>
      <c r="D81" s="4"/>
      <c r="E81" s="101"/>
      <c r="G81" s="96"/>
      <c r="H81" s="4"/>
      <c r="I81" s="4"/>
      <c r="J81" s="4"/>
      <c r="K81" s="101"/>
    </row>
    <row r="82" spans="1:11" x14ac:dyDescent="0.2">
      <c r="A82" s="41"/>
      <c r="B82" s="41"/>
      <c r="C82" s="41"/>
      <c r="D82" s="41"/>
      <c r="E82" s="97"/>
      <c r="H82" s="41"/>
      <c r="I82" s="41"/>
      <c r="J82" s="41"/>
      <c r="K82" s="41"/>
    </row>
    <row r="83" spans="1:11" x14ac:dyDescent="0.2">
      <c r="A83" s="42" t="s">
        <v>99</v>
      </c>
      <c r="H83" s="41"/>
      <c r="I83" s="41"/>
      <c r="J83" s="41"/>
      <c r="K83" s="41"/>
    </row>
    <row r="84" spans="1:11" x14ac:dyDescent="0.2">
      <c r="A84" s="42" t="s">
        <v>100</v>
      </c>
    </row>
    <row r="85" spans="1:11" x14ac:dyDescent="0.2">
      <c r="A85" s="107"/>
    </row>
    <row r="86" spans="1:11" x14ac:dyDescent="0.2">
      <c r="A86" s="42" t="s">
        <v>192</v>
      </c>
    </row>
    <row r="87" spans="1:11" x14ac:dyDescent="0.2">
      <c r="A87" s="42" t="s">
        <v>103</v>
      </c>
    </row>
    <row r="88" spans="1:11" hidden="1" x14ac:dyDescent="0.2">
      <c r="A88" s="42" t="s">
        <v>154</v>
      </c>
    </row>
  </sheetData>
  <mergeCells count="1">
    <mergeCell ref="D1:F1"/>
  </mergeCells>
  <printOptions gridLines="1"/>
  <pageMargins left="0.7" right="0.7" top="0.75" bottom="0.75" header="0.3" footer="0.3"/>
  <pageSetup scale="66" fitToHeight="0" orientation="portrait" r:id="rId1"/>
  <headerFooter>
    <oddFooter>&amp;RPY 22 Allocations
PIC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42"/>
  <sheetViews>
    <sheetView workbookViewId="0">
      <selection activeCell="K53" sqref="K53"/>
    </sheetView>
  </sheetViews>
  <sheetFormatPr defaultColWidth="9" defaultRowHeight="12.75" x14ac:dyDescent="0.2"/>
  <cols>
    <col min="1" max="1" width="12.42578125" style="43" bestFit="1" customWidth="1"/>
    <col min="2" max="5" width="10.140625" customWidth="1"/>
    <col min="6" max="6" width="12.42578125" bestFit="1" customWidth="1"/>
    <col min="7" max="7" width="10.140625" customWidth="1"/>
    <col min="8" max="8" width="12.42578125" bestFit="1" customWidth="1"/>
    <col min="9" max="9" width="10.140625" customWidth="1"/>
    <col min="10" max="10" width="11.5703125" bestFit="1" customWidth="1"/>
    <col min="11" max="25" width="10.140625" customWidth="1"/>
    <col min="26" max="26" width="8.28515625" hidden="1" customWidth="1"/>
    <col min="27" max="27" width="8" hidden="1" customWidth="1"/>
    <col min="28" max="28" width="8.28515625" hidden="1" customWidth="1"/>
    <col min="29" max="29" width="9" hidden="1" customWidth="1"/>
    <col min="30" max="31" width="8.85546875" hidden="1" customWidth="1"/>
    <col min="32" max="33" width="8.28515625" hidden="1" customWidth="1"/>
    <col min="34" max="34" width="2.7109375" hidden="1" customWidth="1"/>
    <col min="35" max="35" width="7.28515625" hidden="1" customWidth="1"/>
    <col min="36" max="36" width="8.28515625" hidden="1" customWidth="1"/>
    <col min="37" max="37" width="1.7109375" customWidth="1"/>
    <col min="38" max="38" width="9.140625" hidden="1" customWidth="1"/>
    <col min="39" max="256" width="9.140625" customWidth="1"/>
  </cols>
  <sheetData>
    <row r="1" spans="1:256" x14ac:dyDescent="0.2">
      <c r="B1" s="2" t="s">
        <v>104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56" x14ac:dyDescent="0.2">
      <c r="B2" s="2" t="s">
        <v>105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56" x14ac:dyDescent="0.2">
      <c r="B3" s="2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4"/>
      <c r="AA3" s="45"/>
      <c r="AB3" s="46"/>
      <c r="AC3" s="42"/>
      <c r="AE3" s="47"/>
      <c r="AF3" s="48"/>
    </row>
    <row r="5" spans="1:256" x14ac:dyDescent="0.2">
      <c r="A5" s="45"/>
      <c r="B5" s="49" t="s">
        <v>61</v>
      </c>
      <c r="C5" s="49"/>
      <c r="D5" s="49"/>
      <c r="E5" s="49"/>
      <c r="F5" s="49" t="s">
        <v>106</v>
      </c>
      <c r="G5" s="49"/>
      <c r="H5" s="49" t="s">
        <v>61</v>
      </c>
      <c r="I5" s="49"/>
      <c r="J5" s="49" t="s">
        <v>107</v>
      </c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50"/>
      <c r="AA5" s="50"/>
      <c r="AB5" s="50"/>
      <c r="AC5" s="51"/>
      <c r="AD5" s="52"/>
      <c r="AE5" s="49"/>
      <c r="AF5" s="49"/>
      <c r="AG5" s="49" t="s">
        <v>108</v>
      </c>
      <c r="AH5" s="53"/>
      <c r="AI5" s="54"/>
      <c r="AJ5" s="49" t="s">
        <v>61</v>
      </c>
      <c r="AK5" s="55"/>
    </row>
    <row r="6" spans="1:256" x14ac:dyDescent="0.2">
      <c r="A6" s="45" t="s">
        <v>109</v>
      </c>
      <c r="B6" s="49" t="s">
        <v>110</v>
      </c>
      <c r="C6" s="49" t="s">
        <v>111</v>
      </c>
      <c r="D6" s="49" t="s">
        <v>112</v>
      </c>
      <c r="E6" s="49" t="s">
        <v>113</v>
      </c>
      <c r="F6" s="49" t="s">
        <v>114</v>
      </c>
      <c r="G6" s="49" t="s">
        <v>115</v>
      </c>
      <c r="H6" s="49" t="s">
        <v>116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 t="s">
        <v>7</v>
      </c>
      <c r="AA6" s="49" t="s">
        <v>117</v>
      </c>
      <c r="AB6" s="49" t="s">
        <v>11</v>
      </c>
      <c r="AC6" s="49" t="s">
        <v>118</v>
      </c>
      <c r="AD6" s="49" t="s">
        <v>119</v>
      </c>
      <c r="AE6" s="49" t="s">
        <v>27</v>
      </c>
      <c r="AF6" s="49" t="s">
        <v>120</v>
      </c>
      <c r="AG6" s="49" t="s">
        <v>121</v>
      </c>
      <c r="AH6" s="49"/>
      <c r="AI6" s="49" t="s">
        <v>122</v>
      </c>
      <c r="AJ6" s="49" t="s">
        <v>110</v>
      </c>
      <c r="AK6" s="55"/>
    </row>
    <row r="7" spans="1:256" x14ac:dyDescent="0.2">
      <c r="A7" s="56"/>
      <c r="B7" s="49" t="s">
        <v>123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</row>
    <row r="8" spans="1:256" x14ac:dyDescent="0.2">
      <c r="A8" s="56"/>
      <c r="B8" s="57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</row>
    <row r="9" spans="1:256" x14ac:dyDescent="0.2">
      <c r="A9" s="47" t="s">
        <v>124</v>
      </c>
      <c r="B9" s="36">
        <v>1950</v>
      </c>
      <c r="C9" s="23">
        <f>1538.46*26+0.04</f>
        <v>40000</v>
      </c>
      <c r="D9" s="23">
        <f>C9*7.65%</f>
        <v>3060</v>
      </c>
      <c r="E9" s="23">
        <f>C9*1.2%</f>
        <v>480</v>
      </c>
      <c r="F9" s="23">
        <f>26*50</f>
        <v>1300</v>
      </c>
      <c r="G9" s="23">
        <f>C9*0.03</f>
        <v>1200</v>
      </c>
      <c r="H9" s="23">
        <f>SUM(C9:G9)</f>
        <v>46040</v>
      </c>
      <c r="I9" s="23"/>
      <c r="J9" s="23">
        <f>SUM(D9:G9)</f>
        <v>6040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>
        <v>269.25</v>
      </c>
      <c r="AA9" s="36">
        <v>300.5</v>
      </c>
      <c r="AB9" s="36">
        <v>395.5</v>
      </c>
      <c r="AC9" s="36">
        <v>702.5</v>
      </c>
      <c r="AD9" s="36"/>
      <c r="AE9" s="36">
        <v>0</v>
      </c>
      <c r="AF9" s="36">
        <v>0</v>
      </c>
      <c r="AG9" s="36">
        <v>0</v>
      </c>
      <c r="AH9" s="36"/>
      <c r="AI9" s="36">
        <v>282.25</v>
      </c>
      <c r="AJ9" s="36">
        <f>SUM(Z9:AI9)</f>
        <v>1950</v>
      </c>
      <c r="AK9" s="36"/>
    </row>
    <row r="10" spans="1:256" x14ac:dyDescent="0.2">
      <c r="A10" s="58" t="s">
        <v>125</v>
      </c>
      <c r="B10" s="59"/>
      <c r="C10" s="59"/>
      <c r="D10" s="59"/>
      <c r="E10" s="59"/>
      <c r="F10" s="59"/>
      <c r="G10" s="59"/>
      <c r="H10" s="59"/>
      <c r="I10" s="59"/>
      <c r="J10" s="59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60">
        <f>Z9/$B9</f>
        <v>0.13807692307692307</v>
      </c>
      <c r="AA10" s="60">
        <f>AA9/$B9</f>
        <v>0.15410256410256409</v>
      </c>
      <c r="AB10" s="60">
        <f>AB9/$B9</f>
        <v>0.20282051282051283</v>
      </c>
      <c r="AC10" s="60">
        <f>AC9/$B9</f>
        <v>0.36025641025641025</v>
      </c>
      <c r="AD10" s="60"/>
      <c r="AE10" s="60">
        <f>AE9/$B9</f>
        <v>0</v>
      </c>
      <c r="AF10" s="60">
        <f>AF9/$B9</f>
        <v>0</v>
      </c>
      <c r="AG10" s="60">
        <f>AG9/$B9</f>
        <v>0</v>
      </c>
      <c r="AH10" s="60"/>
      <c r="AI10" s="36"/>
      <c r="AL10" s="61">
        <f>SUM(Z10:AG10)</f>
        <v>0.85525641025641019</v>
      </c>
    </row>
    <row r="11" spans="1:256" x14ac:dyDescent="0.2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3"/>
      <c r="AA11" s="63"/>
      <c r="AB11" s="63"/>
      <c r="AC11" s="63"/>
      <c r="AD11" s="63"/>
      <c r="AE11" s="63"/>
      <c r="AF11" s="63"/>
      <c r="AG11" s="63"/>
      <c r="AH11" s="63"/>
      <c r="AI11" s="62">
        <f>-SUM(Z11:AG11)</f>
        <v>0</v>
      </c>
      <c r="AJ11" s="62">
        <f>SUM(Z11:AI11)</f>
        <v>0</v>
      </c>
      <c r="AK11" s="62"/>
    </row>
    <row r="12" spans="1:256" x14ac:dyDescent="0.2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6">
        <f t="shared" ref="Z12:AG12" si="0">Z9+Z11</f>
        <v>269.25</v>
      </c>
      <c r="AA12" s="66">
        <f t="shared" si="0"/>
        <v>300.5</v>
      </c>
      <c r="AB12" s="66">
        <f t="shared" si="0"/>
        <v>395.5</v>
      </c>
      <c r="AC12" s="66">
        <f t="shared" si="0"/>
        <v>702.5</v>
      </c>
      <c r="AD12" s="66">
        <f t="shared" si="0"/>
        <v>0</v>
      </c>
      <c r="AE12" s="66">
        <f t="shared" si="0"/>
        <v>0</v>
      </c>
      <c r="AF12" s="66">
        <f t="shared" si="0"/>
        <v>0</v>
      </c>
      <c r="AG12" s="66">
        <f t="shared" si="0"/>
        <v>0</v>
      </c>
      <c r="AH12" s="66"/>
      <c r="AI12" s="65">
        <f>AI9</f>
        <v>282.25</v>
      </c>
      <c r="AJ12" s="65">
        <f>SUM(Z12:AI12)</f>
        <v>1950</v>
      </c>
      <c r="AK12" s="65"/>
    </row>
    <row r="13" spans="1:256" x14ac:dyDescent="0.2">
      <c r="A13" s="56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</row>
    <row r="14" spans="1:256" x14ac:dyDescent="0.2">
      <c r="A14" s="47" t="s">
        <v>126</v>
      </c>
      <c r="B14" s="67">
        <v>1560</v>
      </c>
      <c r="C14" s="23">
        <f>2470.2*26</f>
        <v>64225.2</v>
      </c>
      <c r="D14" s="23">
        <f>C14*7.65%</f>
        <v>4913.2277999999997</v>
      </c>
      <c r="E14" s="23">
        <f>C14*1.2%</f>
        <v>770.70240000000001</v>
      </c>
      <c r="F14" s="23">
        <f>SUM(26*20)+57*12</f>
        <v>1204</v>
      </c>
      <c r="G14" s="23">
        <f>C14*0.03</f>
        <v>1926.7559999999999</v>
      </c>
      <c r="H14" s="23">
        <f>SUM(C14:G14)</f>
        <v>73039.886199999979</v>
      </c>
      <c r="I14" s="23"/>
      <c r="J14" s="23">
        <f>SUM(D14:G14)</f>
        <v>8814.6862000000001</v>
      </c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>
        <v>366</v>
      </c>
      <c r="AA14" s="67">
        <v>427.5</v>
      </c>
      <c r="AB14" s="67">
        <v>329</v>
      </c>
      <c r="AC14" s="67">
        <v>227</v>
      </c>
      <c r="AD14" s="67">
        <f>'[1]we 7-4-14'!G13+'[1]we 7-18-14'!G13+'[1]we 8-1-14'!G13+'[1]we 8-15-14'!G13+'[1]we 8-29-14'!G13+'[1]we 9-12-14'!G13+'[1]we 9-26-14'!G13+'[1]we 10-10-14'!G13+'[1]we 10-24-14'!G13+'[1]we 11-7-14'!G13+'[1]we 11-21-14'!G13+'[1]we 12-5-14'!G13+'[1]we 12-19-14'!G13+'[1]we 1-2-15'!G13+'[1]we 1-16-15'!G13+'[1]we 1-30-15'!G13+'[1]we 2-13-15'!G13+'[1]we 2-27-15'!G13+'[1]we 3-13-15'!G13+'[1]we 3-27-15'!G13</f>
        <v>0</v>
      </c>
      <c r="AE14" s="67">
        <v>6.5</v>
      </c>
      <c r="AF14" s="67">
        <v>256.5</v>
      </c>
      <c r="AG14" s="67">
        <f>'[1]we 7-4-14'!J13+'[1]we 7-18-14'!J13+'[1]we 8-1-14'!J13+'[1]we 8-15-14'!J13+'[1]we 8-29-14'!J13+'[1]we 9-12-14'!J13+'[1]we 9-26-14'!J13+'[1]we 10-10-14'!J13+'[1]we 10-24-14'!J13+'[1]we 11-7-14'!J13+'[1]we 11-21-14'!J13+'[1]we 12-5-14'!J13+'[1]we 12-19-14'!J13+'[1]we 1-2-15'!J13+'[1]we 1-16-15'!J13+'[1]we 1-30-15'!J13+'[1]we 2-13-15'!J13+'[1]we 2-27-15'!J13+'[1]we 3-13-15'!J13+'[1]we 3-27-15'!J13</f>
        <v>0</v>
      </c>
      <c r="AH14" s="67"/>
      <c r="AI14" s="67">
        <v>337.5</v>
      </c>
      <c r="AJ14" s="67">
        <f>SUM(Z14:AI14)</f>
        <v>1950</v>
      </c>
      <c r="AK14" s="67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6" x14ac:dyDescent="0.2">
      <c r="A15" s="64" t="s">
        <v>127</v>
      </c>
      <c r="B15" s="68"/>
      <c r="C15" s="69"/>
      <c r="D15" s="69"/>
      <c r="E15" s="69"/>
      <c r="F15" s="69"/>
      <c r="G15" s="69"/>
      <c r="H15" s="69"/>
      <c r="I15" s="69"/>
      <c r="J15" s="69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0">
        <f t="shared" ref="Z15:AG15" si="1">ROUND(Z14/$B14,4)</f>
        <v>0.2346</v>
      </c>
      <c r="AA15" s="60">
        <f t="shared" si="1"/>
        <v>0.27400000000000002</v>
      </c>
      <c r="AB15" s="60">
        <f t="shared" si="1"/>
        <v>0.2109</v>
      </c>
      <c r="AC15" s="60">
        <f>ROUND(AC14/$B14,4)</f>
        <v>0.14549999999999999</v>
      </c>
      <c r="AD15" s="60">
        <f t="shared" si="1"/>
        <v>0</v>
      </c>
      <c r="AE15" s="60">
        <f t="shared" si="1"/>
        <v>4.1999999999999997E-3</v>
      </c>
      <c r="AF15" s="60">
        <f t="shared" si="1"/>
        <v>0.16439999999999999</v>
      </c>
      <c r="AG15" s="60">
        <f t="shared" si="1"/>
        <v>0</v>
      </c>
      <c r="AH15" s="60"/>
      <c r="AI15" s="62"/>
      <c r="AJ15" s="24"/>
      <c r="AK15" s="24"/>
      <c r="AL15" s="61">
        <f>SUM(Z15:AG15)</f>
        <v>1.0335999999999999</v>
      </c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x14ac:dyDescent="0.2">
      <c r="A16" s="62"/>
      <c r="B16" s="62"/>
      <c r="C16" s="23"/>
      <c r="D16" s="23"/>
      <c r="E16" s="23"/>
      <c r="F16" s="23"/>
      <c r="G16" s="23"/>
      <c r="H16" s="23"/>
      <c r="I16" s="23"/>
      <c r="J16" s="23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3"/>
      <c r="AA16" s="63"/>
      <c r="AB16" s="63"/>
      <c r="AC16" s="63"/>
      <c r="AD16" s="63"/>
      <c r="AE16" s="63"/>
      <c r="AF16" s="63"/>
      <c r="AG16" s="63"/>
      <c r="AH16" s="63"/>
      <c r="AI16" s="62">
        <f>-SUM(Z16:AG16)</f>
        <v>0</v>
      </c>
      <c r="AJ16" s="62">
        <f>SUM(Z16:AI16)</f>
        <v>0</v>
      </c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  <c r="IV16" s="62"/>
    </row>
    <row r="17" spans="1:256" x14ac:dyDescent="0.2">
      <c r="A17" s="64"/>
      <c r="B17" s="65"/>
      <c r="C17" s="23"/>
      <c r="D17" s="23"/>
      <c r="E17" s="23"/>
      <c r="F17" s="23"/>
      <c r="G17" s="23"/>
      <c r="H17" s="23"/>
      <c r="I17" s="23"/>
      <c r="J17" s="23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6">
        <f t="shared" ref="Z17:AG17" si="2">Z14+Z16</f>
        <v>366</v>
      </c>
      <c r="AA17" s="66">
        <f t="shared" si="2"/>
        <v>427.5</v>
      </c>
      <c r="AB17" s="66">
        <f t="shared" si="2"/>
        <v>329</v>
      </c>
      <c r="AC17" s="66">
        <f t="shared" si="2"/>
        <v>227</v>
      </c>
      <c r="AD17" s="66">
        <f t="shared" si="2"/>
        <v>0</v>
      </c>
      <c r="AE17" s="66">
        <f t="shared" si="2"/>
        <v>6.5</v>
      </c>
      <c r="AF17" s="66">
        <f t="shared" si="2"/>
        <v>256.5</v>
      </c>
      <c r="AG17" s="66">
        <f t="shared" si="2"/>
        <v>0</v>
      </c>
      <c r="AH17" s="66"/>
      <c r="AI17" s="65">
        <f>AI14</f>
        <v>337.5</v>
      </c>
      <c r="AJ17" s="65">
        <f>SUM(Z17:AI17)</f>
        <v>1950</v>
      </c>
      <c r="AK17" s="65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x14ac:dyDescent="0.2">
      <c r="B18" s="65"/>
      <c r="C18" s="23"/>
      <c r="D18" s="23"/>
      <c r="E18" s="23"/>
      <c r="F18" s="23"/>
      <c r="G18" s="23"/>
      <c r="H18" s="23"/>
      <c r="I18" s="23"/>
      <c r="J18" s="23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6"/>
      <c r="AA18" s="66"/>
      <c r="AB18" s="66"/>
      <c r="AC18" s="66"/>
      <c r="AD18" s="66"/>
      <c r="AE18" s="66"/>
      <c r="AF18" s="66"/>
      <c r="AG18" s="66"/>
      <c r="AH18" s="66"/>
      <c r="AI18" s="65"/>
      <c r="AJ18" s="65"/>
      <c r="AK18" s="65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x14ac:dyDescent="0.2">
      <c r="B19" s="36"/>
      <c r="C19" s="23"/>
      <c r="D19" s="23"/>
      <c r="E19" s="23"/>
      <c r="F19" s="23"/>
      <c r="G19" s="23"/>
      <c r="H19" s="23"/>
      <c r="I19" s="23"/>
      <c r="J19" s="23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256" x14ac:dyDescent="0.2">
      <c r="A20" s="47" t="s">
        <v>128</v>
      </c>
      <c r="B20" s="67">
        <v>1950</v>
      </c>
      <c r="C20" s="23">
        <f>1692.31*26-0.06</f>
        <v>44000</v>
      </c>
      <c r="D20" s="23">
        <f>C20*7.65%</f>
        <v>3366</v>
      </c>
      <c r="E20" s="23">
        <f>C20*1.2%</f>
        <v>528</v>
      </c>
      <c r="F20" s="23">
        <f>711.84*12</f>
        <v>8542.08</v>
      </c>
      <c r="G20" s="23"/>
      <c r="H20" s="23">
        <f>SUM(C20:G20)</f>
        <v>56436.08</v>
      </c>
      <c r="I20" s="23"/>
      <c r="J20" s="23">
        <f>SUM(D20:G20)</f>
        <v>12436.08</v>
      </c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>
        <v>0</v>
      </c>
      <c r="AA20" s="67">
        <v>0</v>
      </c>
      <c r="AB20" s="67">
        <v>0</v>
      </c>
      <c r="AC20" s="36">
        <v>1440</v>
      </c>
      <c r="AD20" s="36">
        <f>'[1]we 7-4-14'!G19+'[1]we 7-18-14'!G19+'[1]we 8-1-14'!G19+'[1]we 8-15-14'!G19+'[1]we 8-29-14'!G19+'[1]we 9-12-14'!G19+'[1]we 9-26-14'!G19+'[1]we 10-10-14'!G19+'[1]we 10-24-14'!G19+'[1]we 11-7-14'!G19+'[1]we 11-21-14'!G19+'[1]we 12-5-14'!G19+'[1]we 12-19-14'!G19+'[1]we 1-2-15'!G19+'[1]we 1-16-15'!G19+'[1]we 1-30-15'!G19+'[1]we 2-13-15'!G19+'[1]we 2-27-15'!G19+'[1]we 3-13-15'!G19+'[1]we 3-27-15'!G19</f>
        <v>0</v>
      </c>
      <c r="AE20" s="36">
        <v>34</v>
      </c>
      <c r="AF20" s="36">
        <v>57.5</v>
      </c>
      <c r="AG20" s="36"/>
      <c r="AH20" s="36"/>
      <c r="AI20" s="36">
        <v>148.5</v>
      </c>
      <c r="AJ20" s="67">
        <f>SUM(Z20:AI20)</f>
        <v>1680</v>
      </c>
      <c r="AK20" s="67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</row>
    <row r="21" spans="1:256" x14ac:dyDescent="0.2">
      <c r="A21" s="58" t="s">
        <v>125</v>
      </c>
      <c r="B21" s="59"/>
      <c r="C21" s="69"/>
      <c r="D21" s="69"/>
      <c r="E21" s="69"/>
      <c r="F21" s="69"/>
      <c r="G21" s="69"/>
      <c r="H21" s="69"/>
      <c r="I21" s="69"/>
      <c r="J21" s="69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60">
        <f t="shared" ref="Z21:AG21" si="3">Z20/$B20</f>
        <v>0</v>
      </c>
      <c r="AA21" s="60">
        <f t="shared" si="3"/>
        <v>0</v>
      </c>
      <c r="AB21" s="60">
        <f t="shared" si="3"/>
        <v>0</v>
      </c>
      <c r="AC21" s="60">
        <f t="shared" si="3"/>
        <v>0.7384615384615385</v>
      </c>
      <c r="AD21" s="60">
        <f t="shared" si="3"/>
        <v>0</v>
      </c>
      <c r="AE21" s="60">
        <f t="shared" si="3"/>
        <v>1.7435897435897435E-2</v>
      </c>
      <c r="AF21" s="60">
        <f t="shared" si="3"/>
        <v>2.9487179487179487E-2</v>
      </c>
      <c r="AG21" s="60">
        <f t="shared" si="3"/>
        <v>0</v>
      </c>
      <c r="AH21" s="60"/>
      <c r="AI21" s="36"/>
      <c r="AL21" s="61">
        <f>SUM(Z21:AG21)</f>
        <v>0.78538461538461546</v>
      </c>
    </row>
    <row r="22" spans="1:256" x14ac:dyDescent="0.2">
      <c r="B22" s="62"/>
      <c r="C22" s="23"/>
      <c r="D22" s="23"/>
      <c r="E22" s="23"/>
      <c r="F22" s="23"/>
      <c r="G22" s="23"/>
      <c r="H22" s="23"/>
      <c r="I22" s="23"/>
      <c r="J22" s="23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3"/>
      <c r="AA22" s="63"/>
      <c r="AB22" s="63"/>
      <c r="AC22" s="63"/>
      <c r="AD22" s="63"/>
      <c r="AE22" s="63"/>
      <c r="AF22" s="63"/>
      <c r="AG22" s="63"/>
      <c r="AH22" s="63"/>
      <c r="AI22" s="62">
        <f>-SUM(Z22:AG22)</f>
        <v>0</v>
      </c>
      <c r="AJ22" s="62">
        <f>SUM(Z22:AI22)</f>
        <v>0</v>
      </c>
      <c r="AK22" s="62"/>
    </row>
    <row r="23" spans="1:256" x14ac:dyDescent="0.2">
      <c r="A23" s="64"/>
      <c r="B23" s="65"/>
      <c r="C23" s="23"/>
      <c r="D23" s="23"/>
      <c r="E23" s="23"/>
      <c r="F23" s="23"/>
      <c r="G23" s="23"/>
      <c r="H23" s="23"/>
      <c r="I23" s="23"/>
      <c r="J23" s="23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6">
        <f t="shared" ref="Z23:AG23" si="4">Z20+Z22</f>
        <v>0</v>
      </c>
      <c r="AA23" s="66">
        <f t="shared" si="4"/>
        <v>0</v>
      </c>
      <c r="AB23" s="66">
        <f t="shared" si="4"/>
        <v>0</v>
      </c>
      <c r="AC23" s="66">
        <f t="shared" si="4"/>
        <v>1440</v>
      </c>
      <c r="AD23" s="66">
        <f t="shared" si="4"/>
        <v>0</v>
      </c>
      <c r="AE23" s="66">
        <f t="shared" si="4"/>
        <v>34</v>
      </c>
      <c r="AF23" s="66">
        <f t="shared" si="4"/>
        <v>57.5</v>
      </c>
      <c r="AG23" s="66">
        <f t="shared" si="4"/>
        <v>0</v>
      </c>
      <c r="AH23" s="66"/>
      <c r="AI23" s="65">
        <f>AI20</f>
        <v>148.5</v>
      </c>
      <c r="AJ23" s="65">
        <f>SUM(Z23:AI23)</f>
        <v>1680</v>
      </c>
      <c r="AK23" s="65"/>
    </row>
    <row r="24" spans="1:256" hidden="1" x14ac:dyDescent="0.2">
      <c r="B24" s="65"/>
      <c r="C24" s="23"/>
      <c r="D24" s="23"/>
      <c r="E24" s="23"/>
      <c r="F24" s="23"/>
      <c r="G24" s="23"/>
      <c r="H24" s="23"/>
      <c r="I24" s="23"/>
      <c r="J24" s="23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6"/>
      <c r="AA24" s="66"/>
      <c r="AB24" s="66"/>
      <c r="AC24" s="66"/>
      <c r="AD24" s="66"/>
      <c r="AE24" s="66"/>
      <c r="AF24" s="66"/>
      <c r="AG24" s="66"/>
      <c r="AH24" s="66"/>
      <c r="AI24" s="65"/>
      <c r="AJ24" s="65"/>
      <c r="AK24" s="65"/>
    </row>
    <row r="25" spans="1:256" hidden="1" x14ac:dyDescent="0.2">
      <c r="B25" s="36"/>
      <c r="C25" s="23"/>
      <c r="D25" s="23"/>
      <c r="E25" s="23"/>
      <c r="F25" s="23"/>
      <c r="G25" s="23"/>
      <c r="H25" s="23"/>
      <c r="I25" s="23"/>
      <c r="J25" s="23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</row>
    <row r="26" spans="1:256" hidden="1" x14ac:dyDescent="0.2">
      <c r="A26" s="47" t="s">
        <v>129</v>
      </c>
      <c r="B26" s="36">
        <v>315</v>
      </c>
      <c r="C26" s="23">
        <v>0</v>
      </c>
      <c r="D26" s="23">
        <f>C26*7.65%</f>
        <v>0</v>
      </c>
      <c r="E26" s="23">
        <f>0*1.2%</f>
        <v>0</v>
      </c>
      <c r="F26" s="23">
        <f>0*3</f>
        <v>0</v>
      </c>
      <c r="G26" s="23"/>
      <c r="H26" s="23">
        <f>SUM(C26:G26)</f>
        <v>0</v>
      </c>
      <c r="I26" s="23"/>
      <c r="J26" s="23">
        <f>SUM(D26:G26)</f>
        <v>0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>
        <v>334</v>
      </c>
      <c r="AA26" s="36">
        <v>334.75</v>
      </c>
      <c r="AB26" s="36">
        <v>348</v>
      </c>
      <c r="AC26" s="36">
        <v>0</v>
      </c>
      <c r="AD26" s="36"/>
      <c r="AE26" s="36">
        <v>8.75</v>
      </c>
      <c r="AF26" s="36">
        <v>0</v>
      </c>
      <c r="AG26" s="36">
        <v>0</v>
      </c>
      <c r="AH26" s="36"/>
      <c r="AI26" s="36">
        <v>144.5</v>
      </c>
      <c r="AJ26" s="36">
        <f>SUM(Z26:AI26)</f>
        <v>1170</v>
      </c>
      <c r="AK26" s="36"/>
    </row>
    <row r="27" spans="1:256" hidden="1" x14ac:dyDescent="0.2">
      <c r="A27" s="58" t="s">
        <v>130</v>
      </c>
      <c r="B27" s="36"/>
      <c r="C27" s="23"/>
      <c r="D27" s="23"/>
      <c r="E27" s="23"/>
      <c r="F27" s="23"/>
      <c r="G27" s="23"/>
      <c r="H27" s="23"/>
      <c r="I27" s="23"/>
      <c r="J27" s="23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</row>
    <row r="28" spans="1:256" hidden="1" x14ac:dyDescent="0.2">
      <c r="A28" s="58"/>
      <c r="B28" s="36"/>
      <c r="C28" s="23"/>
      <c r="D28" s="23"/>
      <c r="E28" s="23"/>
      <c r="F28" s="23"/>
      <c r="G28" s="23"/>
      <c r="H28" s="23"/>
      <c r="I28" s="23"/>
      <c r="J28" s="23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60">
        <f>Z26/$B26</f>
        <v>1.0603174603174603</v>
      </c>
      <c r="AA28" s="60">
        <f>AA26/$B26</f>
        <v>1.0626984126984127</v>
      </c>
      <c r="AB28" s="60">
        <f>AB26/$B26</f>
        <v>1.1047619047619048</v>
      </c>
      <c r="AC28" s="60">
        <f>AC26/$B26</f>
        <v>0</v>
      </c>
      <c r="AD28" s="60"/>
      <c r="AE28" s="60">
        <f>AE26/$B26</f>
        <v>2.7777777777777776E-2</v>
      </c>
      <c r="AF28" s="60">
        <f>AF26/$B26</f>
        <v>0</v>
      </c>
      <c r="AG28" s="60">
        <f>AG26/$B26</f>
        <v>0</v>
      </c>
      <c r="AH28" s="60"/>
      <c r="AI28" s="36"/>
      <c r="AL28" s="61">
        <f>SUM(Z28:AG28)</f>
        <v>3.2555555555555555</v>
      </c>
    </row>
    <row r="29" spans="1:256" x14ac:dyDescent="0.2">
      <c r="B29" s="70" t="s">
        <v>131</v>
      </c>
      <c r="C29" s="71">
        <f>SUM(C9:C28)</f>
        <v>148225.20000000001</v>
      </c>
      <c r="D29" s="71"/>
      <c r="E29" s="71"/>
      <c r="F29" s="71"/>
      <c r="G29" s="71"/>
      <c r="H29" s="71">
        <f>SUM(H9:H28)</f>
        <v>175515.96619999997</v>
      </c>
      <c r="I29" s="71"/>
      <c r="J29" s="71">
        <f>SUM(J9:J28)</f>
        <v>27290.766199999998</v>
      </c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3"/>
      <c r="AA29" s="63"/>
      <c r="AB29" s="63"/>
      <c r="AC29" s="63"/>
      <c r="AD29" s="63"/>
      <c r="AE29" s="63"/>
      <c r="AF29" s="63"/>
      <c r="AG29" s="63"/>
      <c r="AH29" s="63"/>
      <c r="AI29" s="62">
        <f>-SUM(Z29:AG29)</f>
        <v>0</v>
      </c>
      <c r="AJ29" s="62">
        <f>SUM(Z29:AI29)</f>
        <v>0</v>
      </c>
      <c r="AK29" s="62"/>
    </row>
    <row r="30" spans="1:256" x14ac:dyDescent="0.2">
      <c r="A30" s="64"/>
      <c r="B30" s="65"/>
      <c r="C30" s="23"/>
      <c r="D30" s="23"/>
      <c r="E30" s="23"/>
      <c r="F30" s="23"/>
      <c r="G30" s="23"/>
      <c r="H30" s="23"/>
      <c r="I30" s="23"/>
      <c r="J30" s="23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6">
        <f t="shared" ref="Z30:AG30" si="5">Z26+Z29</f>
        <v>334</v>
      </c>
      <c r="AA30" s="66">
        <f t="shared" si="5"/>
        <v>334.75</v>
      </c>
      <c r="AB30" s="66">
        <f t="shared" si="5"/>
        <v>348</v>
      </c>
      <c r="AC30" s="66">
        <f t="shared" si="5"/>
        <v>0</v>
      </c>
      <c r="AD30" s="66">
        <f t="shared" si="5"/>
        <v>0</v>
      </c>
      <c r="AE30" s="66">
        <f t="shared" si="5"/>
        <v>8.75</v>
      </c>
      <c r="AF30" s="66">
        <f t="shared" si="5"/>
        <v>0</v>
      </c>
      <c r="AG30" s="66">
        <f t="shared" si="5"/>
        <v>0</v>
      </c>
      <c r="AH30" s="66"/>
      <c r="AI30" s="65">
        <f>AI26</f>
        <v>144.5</v>
      </c>
      <c r="AJ30" s="65">
        <f>SUM(Z30:AI30)</f>
        <v>1170</v>
      </c>
      <c r="AK30" s="65"/>
    </row>
    <row r="31" spans="1:256" x14ac:dyDescent="0.2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3"/>
      <c r="AA31" s="63"/>
      <c r="AB31" s="63"/>
      <c r="AC31" s="63"/>
      <c r="AD31" s="63"/>
      <c r="AE31" s="63"/>
      <c r="AF31" s="63"/>
      <c r="AG31" s="63"/>
      <c r="AH31" s="63"/>
      <c r="AI31" s="62"/>
      <c r="AJ31" s="62"/>
      <c r="AK31" s="62"/>
    </row>
    <row r="32" spans="1:256" x14ac:dyDescent="0.2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</row>
    <row r="34" spans="1:37" hidden="1" x14ac:dyDescent="0.2">
      <c r="A34" s="47" t="s">
        <v>132</v>
      </c>
      <c r="B34" s="36">
        <f>SUM(Z34:AG34)</f>
        <v>5837.25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>
        <f t="shared" ref="Z34:AG34" si="6">Z17+Z23+Z30+Z12</f>
        <v>969.25</v>
      </c>
      <c r="AA34" s="36">
        <f t="shared" si="6"/>
        <v>1062.75</v>
      </c>
      <c r="AB34" s="36">
        <f t="shared" si="6"/>
        <v>1072.5</v>
      </c>
      <c r="AC34" s="36">
        <f t="shared" si="6"/>
        <v>2369.5</v>
      </c>
      <c r="AD34" s="36">
        <f t="shared" si="6"/>
        <v>0</v>
      </c>
      <c r="AE34" s="36">
        <f t="shared" si="6"/>
        <v>49.25</v>
      </c>
      <c r="AF34" s="36">
        <f t="shared" si="6"/>
        <v>314</v>
      </c>
      <c r="AG34" s="36">
        <f t="shared" si="6"/>
        <v>0</v>
      </c>
      <c r="AH34" s="36"/>
      <c r="AI34" s="36">
        <f>AI17+AI23+AI30+AI12</f>
        <v>912.75</v>
      </c>
      <c r="AJ34" s="36">
        <f>SUM(Z34:AI34)</f>
        <v>6750</v>
      </c>
      <c r="AK34" s="36"/>
    </row>
    <row r="35" spans="1:37" hidden="1" x14ac:dyDescent="0.2">
      <c r="B35" s="72">
        <f>SUM(AA35:AI35)</f>
        <v>0.83395434493982612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>
        <f t="shared" ref="Z35:AG35" si="7">Z34/$B$34</f>
        <v>0.16604565506017388</v>
      </c>
      <c r="AA35" s="72">
        <f t="shared" si="7"/>
        <v>0.18206347166902223</v>
      </c>
      <c r="AB35" s="72">
        <f t="shared" si="7"/>
        <v>0.18373377874855454</v>
      </c>
      <c r="AC35" s="72">
        <f t="shared" si="7"/>
        <v>0.40592744871300696</v>
      </c>
      <c r="AD35" s="72">
        <f t="shared" si="7"/>
        <v>0</v>
      </c>
      <c r="AE35" s="72">
        <f>AE34/$B$34</f>
        <v>8.4371921709709193E-3</v>
      </c>
      <c r="AF35" s="72">
        <f>AF34/$B$34</f>
        <v>5.3792453638271447E-2</v>
      </c>
      <c r="AG35" s="72">
        <f t="shared" si="7"/>
        <v>0</v>
      </c>
      <c r="AH35" s="36"/>
      <c r="AI35" s="72"/>
      <c r="AJ35" s="73"/>
      <c r="AK35" s="73"/>
    </row>
    <row r="36" spans="1:37" hidden="1" x14ac:dyDescent="0.2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74"/>
      <c r="AD36" s="36"/>
      <c r="AE36" s="36"/>
      <c r="AF36" s="36"/>
      <c r="AG36" s="36"/>
      <c r="AH36" s="36"/>
      <c r="AI36" s="36"/>
    </row>
    <row r="37" spans="1:37" hidden="1" x14ac:dyDescent="0.2">
      <c r="B37" s="36">
        <f>SUM(Z37:AC37)</f>
        <v>5474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>
        <f>Z17+Z23+Z30+Z12</f>
        <v>969.25</v>
      </c>
      <c r="AA37" s="36">
        <f>AA17+AA23+AA30+AA12</f>
        <v>1062.75</v>
      </c>
      <c r="AB37" s="36">
        <f>AB17+AB23+AB30+AB12</f>
        <v>1072.5</v>
      </c>
      <c r="AC37" s="36">
        <f>AC17+AC23+AC30+AC12</f>
        <v>2369.5</v>
      </c>
      <c r="AD37" s="36"/>
      <c r="AE37" s="36"/>
      <c r="AF37" s="36"/>
      <c r="AG37" s="36"/>
      <c r="AH37" s="36"/>
      <c r="AI37" s="36"/>
    </row>
    <row r="38" spans="1:37" hidden="1" x14ac:dyDescent="0.2">
      <c r="B38" s="72">
        <f>SUM(Z38:AC38)</f>
        <v>1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>
        <f>Z37/$B$37</f>
        <v>0.17706430398246256</v>
      </c>
      <c r="AA38" s="72">
        <f>AA37/$B$37</f>
        <v>0.19414504932407745</v>
      </c>
      <c r="AB38" s="72">
        <f>AB37/$B$37</f>
        <v>0.19592619656558274</v>
      </c>
      <c r="AC38" s="72">
        <f>AC37/$B$37</f>
        <v>0.43286445012787722</v>
      </c>
      <c r="AD38" s="36"/>
      <c r="AE38" s="36"/>
      <c r="AF38" s="36"/>
      <c r="AG38" s="36"/>
      <c r="AH38" s="36"/>
      <c r="AI38" s="36"/>
    </row>
    <row r="39" spans="1:37" hidden="1" x14ac:dyDescent="0.2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</row>
    <row r="40" spans="1:37" hidden="1" x14ac:dyDescent="0.2">
      <c r="B40" s="36">
        <f>SUM(Z40:AC40)</f>
        <v>3104.5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>
        <f>Z34</f>
        <v>969.25</v>
      </c>
      <c r="AA40" s="36">
        <f>AA34</f>
        <v>1062.75</v>
      </c>
      <c r="AB40" s="36">
        <f>AB34</f>
        <v>1072.5</v>
      </c>
      <c r="AC40" s="36"/>
      <c r="AD40" s="36"/>
      <c r="AE40" s="36"/>
      <c r="AF40" s="36"/>
      <c r="AG40" s="36"/>
      <c r="AH40" s="36"/>
      <c r="AI40" s="36"/>
    </row>
    <row r="41" spans="1:37" hidden="1" x14ac:dyDescent="0.2">
      <c r="B41" s="72">
        <f>SUM(Z41:AC41)</f>
        <v>1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5">
        <f>Z40/$B$40</f>
        <v>0.3122080850378483</v>
      </c>
      <c r="AA41" s="75">
        <f>AA40/$B$40</f>
        <v>0.34232565630536316</v>
      </c>
      <c r="AB41" s="75">
        <f>AB40/$B$40</f>
        <v>0.34546625865678854</v>
      </c>
      <c r="AC41" s="36"/>
      <c r="AD41" s="36"/>
      <c r="AE41" s="36"/>
      <c r="AF41" s="36"/>
      <c r="AG41" s="36"/>
      <c r="AH41" s="36"/>
      <c r="AI41" s="36"/>
    </row>
    <row r="42" spans="1:37" hidden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BY22 Final Allocations </vt:lpstr>
      <vt:lpstr>BY22 Final WIB budget</vt:lpstr>
      <vt:lpstr>BY22 Final PIC budget</vt:lpstr>
      <vt:lpstr>PY18 WDB Payroll</vt:lpstr>
      <vt:lpstr>'BY22 Final Allocations '!Print_Area</vt:lpstr>
      <vt:lpstr>'BY22 Final PIC budget'!Print_Area</vt:lpstr>
      <vt:lpstr>'BY22 Final WIB budget'!Print_Area</vt:lpstr>
      <vt:lpstr>'BY22 Final Allocations 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Skiff</dc:creator>
  <cp:lastModifiedBy>Heather Pettit</cp:lastModifiedBy>
  <cp:lastPrinted>2022-08-24T12:46:49Z</cp:lastPrinted>
  <dcterms:created xsi:type="dcterms:W3CDTF">2017-07-12T15:01:59Z</dcterms:created>
  <dcterms:modified xsi:type="dcterms:W3CDTF">2023-05-02T18:10:08Z</dcterms:modified>
</cp:coreProperties>
</file>